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qN8mWGvmj225wpNlU4dN/L6gQAxo5tfReqNj9VqhshjwCv60/Un63FhhFLMmGAdIJM8tm0eV8lbURaRj554DkA==" workbookSaltValue="z2tAP74km356hm6nUi9y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N19" i="8"/>
  <c r="BA13" i="16"/>
  <c r="N11" i="11"/>
  <c r="ES19" i="8"/>
  <c r="BM19" i="8"/>
  <c r="BK19" i="8"/>
  <c r="EP19" i="8"/>
  <c r="AL13" i="16"/>
  <c r="AJ13" i="16"/>
  <c r="BH17" i="16"/>
  <c r="BG10" i="11"/>
  <c r="BM16" i="11"/>
  <c r="P17" i="17"/>
  <c r="BL17" i="11"/>
  <c r="BK12" i="11"/>
  <c r="BF10" i="11"/>
  <c r="BK9" i="11"/>
  <c r="S13" i="16"/>
  <c r="H18" i="16"/>
  <c r="BN18" i="16"/>
  <c r="P13" i="16"/>
  <c r="AM13" i="20"/>
  <c r="AN13" i="20"/>
  <c r="AT17" i="20"/>
  <c r="M13" i="2"/>
  <c r="D17" i="2"/>
  <c r="T13" i="1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L15" i="2"/>
  <c r="L17" i="2"/>
  <c r="X15" i="16"/>
  <c r="X18" i="16" s="1"/>
  <c r="V10" i="16"/>
  <c r="T13" i="16"/>
  <c r="AP13" i="16"/>
  <c r="AA9" i="16"/>
  <c r="V9" i="16"/>
  <c r="BF15" i="13"/>
  <c r="BA18" i="13"/>
  <c r="G18" i="14"/>
  <c r="AO20" i="20"/>
  <c r="AN20" i="20"/>
  <c r="H20" i="20"/>
  <c r="AM20" i="20"/>
  <c r="E20" i="20"/>
  <c r="I20" i="20"/>
  <c r="K20" i="20"/>
  <c r="P20" i="20"/>
  <c r="N20" i="20"/>
  <c r="AQ20" i="20"/>
  <c r="U12" i="11"/>
  <c r="W20" i="20"/>
  <c r="AK20" i="20"/>
  <c r="L20" i="20"/>
  <c r="AQ20" i="21"/>
  <c r="U16" i="11"/>
  <c r="AF20" i="20"/>
  <c r="AX20" i="20"/>
  <c r="AG20" i="20"/>
  <c r="Q20" i="20"/>
  <c r="Z20" i="20"/>
  <c r="AA20" i="20"/>
  <c r="F20" i="20"/>
  <c r="AU20" i="20"/>
  <c r="X20" i="20"/>
  <c r="AI20" i="20"/>
  <c r="AZ20" i="20"/>
  <c r="AC20" i="20"/>
  <c r="U10" i="11"/>
  <c r="M20" i="20"/>
  <c r="O20" i="20"/>
  <c r="W20" i="21"/>
  <c r="AH20" i="20"/>
  <c r="F17" i="17" l="1"/>
  <c r="AQ17" i="17" s="1"/>
  <c r="U19" i="8"/>
  <c r="AM19" i="8"/>
  <c r="AC19" i="8"/>
  <c r="AK19" i="8"/>
  <c r="AA19" i="8"/>
  <c r="AI19" i="8"/>
  <c r="F15" i="16"/>
  <c r="BL15" i="16" s="1"/>
  <c r="C12" i="14"/>
  <c r="K12" i="14" s="1"/>
  <c r="BG12" i="8"/>
  <c r="E11" i="12"/>
  <c r="AE13" i="17"/>
  <c r="BG10" i="8"/>
  <c r="R19" i="8"/>
  <c r="T19" i="8"/>
  <c r="H9" i="7"/>
  <c r="X12" i="21"/>
  <c r="T17" i="11"/>
  <c r="AP16" i="20"/>
  <c r="BH9" i="16"/>
  <c r="V15" i="11"/>
  <c r="BJ17" i="11"/>
  <c r="BH15" i="11"/>
  <c r="BH15" i="16"/>
  <c r="Q17" i="20"/>
  <c r="Q18" i="20" s="1"/>
  <c r="V11" i="16"/>
  <c r="BF17" i="11"/>
  <c r="BF16" i="11"/>
  <c r="S17" i="16"/>
  <c r="BL12" i="11"/>
  <c r="BK11" i="11"/>
  <c r="V11" i="11"/>
  <c r="BI10" i="11"/>
  <c r="Q10" i="21"/>
  <c r="S9" i="14"/>
  <c r="V9" i="14" s="1"/>
  <c r="BI15" i="11"/>
  <c r="BJ15" i="11"/>
  <c r="BJ12" i="11"/>
  <c r="AP15" i="20"/>
  <c r="BG15" i="11"/>
  <c r="R17" i="20"/>
  <c r="R18" i="20" s="1"/>
  <c r="BK17" i="11"/>
  <c r="T17" i="16"/>
  <c r="T15" i="16"/>
  <c r="BU11" i="17"/>
  <c r="BV17" i="16"/>
  <c r="BU10" i="17"/>
  <c r="BV12" i="16"/>
  <c r="BW12" i="20"/>
  <c r="BV11" i="16"/>
  <c r="BW11" i="20"/>
  <c r="BW10" i="20"/>
  <c r="V12" i="16"/>
  <c r="BU12" i="17"/>
  <c r="AA16" i="16"/>
  <c r="AZ16" i="11"/>
  <c r="AZ12" i="11"/>
  <c r="AZ11" i="11"/>
  <c r="BG12" i="11"/>
  <c r="Q17" i="17"/>
  <c r="BH10" i="11"/>
  <c r="BI9" i="11"/>
  <c r="AQ10" i="21"/>
  <c r="T12" i="11"/>
  <c r="S10" i="17"/>
  <c r="BH10" i="16"/>
  <c r="Q15" i="17"/>
  <c r="BM17" i="11"/>
  <c r="BF15" i="11"/>
  <c r="BH16" i="11"/>
  <c r="AQ12" i="21"/>
  <c r="BJ16" i="11"/>
  <c r="BL16" i="11"/>
  <c r="L12" i="2"/>
  <c r="X10" i="21"/>
  <c r="AA11" i="16"/>
  <c r="L9" i="2"/>
  <c r="T9" i="11"/>
  <c r="BF11" i="11"/>
  <c r="BH11" i="16"/>
  <c r="BL9" i="11"/>
  <c r="X11" i="17"/>
  <c r="V17" i="16"/>
  <c r="S15" i="17"/>
  <c r="U10" i="17"/>
  <c r="S10" i="14"/>
  <c r="V10" i="14" s="1"/>
  <c r="S17" i="14"/>
  <c r="V17" i="14" s="1"/>
  <c r="BG9" i="8"/>
  <c r="K9" i="7" s="1"/>
  <c r="BE9" i="8"/>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K15" i="12" l="1"/>
  <c r="K9" i="12"/>
  <c r="I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<sst xmlns="http://schemas.openxmlformats.org/spreadsheetml/2006/main" count="2066" uniqueCount="903">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</sst>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901</v>
      </c>
      <c r="C10" s="375"/>
      <c r="D10" s="375"/>
      <c r="E10" s="384"/>
      <c r="F10" s="3"/>
      <c r="Q10" s="349">
        <v>0</v>
      </c>
    </row>
    <row r="11" spans="1:19" ht="13.5" thickBot="1">
      <c r="A11" s="385" t="s">
        <v>902</v>
      </c>
      <c r="B11" s="386" t="s">
        <v>901</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XhRV00y7F1WlV2qihS7Xnq6gEXdG783QvXm8fSSdYdqlouylVhgJJBuz7rD3iBtY4V7LOZFhXndyPz+5uqDw==" saltValue="8V3qBxA56i8/XVo+u/Ji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GALICIA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26.136204889406287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89</v>
      </c>
      <c r="D10" s="228">
        <f>IF(ISNUMBER(Datos!I10),Datos!I10," - ")</f>
        <v>89</v>
      </c>
      <c r="E10" s="229">
        <f>IF(ISNUMBER(Datos!J10),Datos!J10," - ")</f>
        <v>14</v>
      </c>
      <c r="F10" s="229">
        <f>IF(ISNUMBER(Datos!K10),Datos!K10," - ")</f>
        <v>30</v>
      </c>
      <c r="G10" s="1037" t="str">
        <f>IF(Datos!E10&lt;&gt;"",Datos!E10,Datos!D10)</f>
        <v>37</v>
      </c>
      <c r="H10" s="230">
        <f>IF(ISNUMBER(Datos!L10),Datos!L10," - ")</f>
        <v>73</v>
      </c>
      <c r="I10" s="1047" t="str">
        <f>IF(ISNUMBER(Datos!AS10/Datos!BM10),Datos!AS10/Datos!BM10," - ")</f>
        <v xml:space="preserve"> - </v>
      </c>
      <c r="J10" s="1048">
        <f>IF(ISNUMBER(Datos!BY10/Datos!CN10),Datos!BY10/Datos!CN10," - ")</f>
        <v>0</v>
      </c>
      <c r="K10" s="233">
        <f t="shared" ref="K10:K12" si="1">IF(ISNUMBER((E10-F10)/C10),(E10-F10)/C10," - ")</f>
        <v>-0.1797752808988764</v>
      </c>
      <c r="L10" s="1028">
        <f>IF(ISNUMBER(NºAsuntos!I10/NºAsuntos!G10),(NºAsuntos!I10/NºAsuntos!G10)*11," - ")</f>
        <v>26.766666666666666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11.721875000000001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89</v>
      </c>
      <c r="D13" s="1052">
        <f>SUBTOTAL(9,D9:D12)</f>
        <v>89</v>
      </c>
      <c r="E13" s="1053">
        <f>SUBTOTAL(9,E9:E12)</f>
        <v>14</v>
      </c>
      <c r="F13" s="1054">
        <f>SUBTOTAL(9,F9:F12)</f>
        <v>30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2136</v>
      </c>
      <c r="D15" s="228">
        <f>IF(ISNUMBER(IF(D_I="SI",Datos!I15,Datos!I15+Datos!AC15)),IF(D_I="SI",Datos!I15,Datos!I15+Datos!AC15)," - ")</f>
        <v>2483</v>
      </c>
      <c r="E15" s="229">
        <f>IF(ISNUMBER(IF(D_I="SI",Datos!J15,Datos!J15+Datos!AD15)),IF(D_I="SI",Datos!J15,Datos!J15+Datos!AD15)," - ")</f>
        <v>1525</v>
      </c>
      <c r="F15" s="229">
        <f>IF(ISNUMBER(IF(D_I="SI",Datos!K15,Datos!K15+Datos!AE15)),IF(D_I="SI",Datos!K15,Datos!K15+Datos!AE15)," - ")</f>
        <v>1487</v>
      </c>
      <c r="G15" s="1037" t="str">
        <f>IF(Datos!E15&lt;&gt;"",Datos!E15,Datos!D15)</f>
        <v>03</v>
      </c>
      <c r="H15" s="230">
        <f>IF(ISNUMBER(IF(D_I="SI",Datos!L15,Datos!L15+Datos!AF15)),IF(D_I="SI",Datos!L15,Datos!L15+Datos!AF15)," - ")</f>
        <v>2174</v>
      </c>
      <c r="I15" s="1047" t="str">
        <f>IF(ISNUMBER(Datos!AS15/Datos!BM15),Datos!AS15/Datos!BM15," - ")</f>
        <v xml:space="preserve"> - </v>
      </c>
      <c r="J15" s="1048">
        <f>IF(ISNUMBER(Datos!BY15/Datos!CN15),Datos!BY15/Datos!CN15," - ")</f>
        <v>0</v>
      </c>
      <c r="K15" s="233">
        <f t="shared" ref="K15:K17" si="3">IF(ISNUMBER((E15-F15)/C15),(E15-F15)/C15," - ")</f>
        <v>1.7790262172284643E-2</v>
      </c>
      <c r="L15" s="1028">
        <f>IF(ISNUMBER(NºAsuntos!I15/NºAsuntos!G15),(NºAsuntos!I15/NºAsuntos!G15)*11," - ")</f>
        <v>16.082044384667114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193</v>
      </c>
      <c r="D17" s="228">
        <f>IF(ISNUMBER(IF(D_I="SI",Datos!I17,Datos!I17+Datos!AC17)),IF(D_I="SI",Datos!I17,Datos!I17+Datos!AC17)," - ")</f>
        <v>193</v>
      </c>
      <c r="E17" s="229">
        <f>IF(ISNUMBER(IF(D_I="SI",Datos!J17,Datos!J17+Datos!AD17)),IF(D_I="SI",Datos!J17,Datos!J17+Datos!AD17)," - ")</f>
        <v>117</v>
      </c>
      <c r="F17" s="229">
        <f>IF(ISNUMBER(IF(D_I="SI",Datos!K17,Datos!K17+Datos!AE17)),IF(D_I="SI",Datos!K17,Datos!K17+Datos!AE17)," - ")</f>
        <v>127</v>
      </c>
      <c r="G17" s="1037" t="str">
        <f>IF(Datos!E17&lt;&gt;"",Datos!E17,Datos!D17)</f>
        <v>37</v>
      </c>
      <c r="H17" s="230">
        <f>IF(ISNUMBER(IF(D_I="SI",Datos!L17,Datos!L17+Datos!AF17)),IF(D_I="SI",Datos!L17,Datos!L17+Datos!AF17)," - ")</f>
        <v>183</v>
      </c>
      <c r="I17" s="1047" t="str">
        <f>IF(ISNUMBER(Datos!AS17/Datos!BM17),Datos!AS17/Datos!BM17," - ")</f>
        <v xml:space="preserve"> - </v>
      </c>
      <c r="J17" s="1048" t="str">
        <f>IF(ISNUMBER((Datos!BY17+Datos!BZ17)/Datos!CN17),(Datos!BY17+Datos!BZ17)/Datos!CN17," - ")</f>
        <v xml:space="preserve"> - </v>
      </c>
      <c r="K17" s="233">
        <f t="shared" si="3"/>
        <v>-5.181347150259067E-2</v>
      </c>
      <c r="L17" s="1028">
        <f>IF(ISNUMBER(NºAsuntos!I17/NºAsuntos!G17),(NºAsuntos!I17/NºAsuntos!G17)*11," - ")</f>
        <v>15.850393700787404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2329</v>
      </c>
      <c r="D18" s="1052">
        <f>SUBTOTAL(9,D15:D17)</f>
        <v>2676</v>
      </c>
      <c r="E18" s="1053">
        <f>SUBTOTAL(9,E15:E17)</f>
        <v>1642</v>
      </c>
      <c r="F18" s="1053">
        <f>SUBTOTAL(9,F15:F17)</f>
        <v>1614</v>
      </c>
      <c r="G18" s="1055" t="str">
        <f ca="1">INDIRECT(CONCATENATE("G",ROW()-1))</f>
        <v>37</v>
      </c>
      <c r="H18" s="1056">
        <f ca="1">SUMIF(G$14:G17,G18,H$14:H17)</f>
        <v>183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2418</v>
      </c>
      <c r="D19" s="1074">
        <f>SUBTOTAL(9,D9:D18)</f>
        <v>2765</v>
      </c>
      <c r="E19" s="1075">
        <f>SUBTOTAL(9,E9:E18)</f>
        <v>1656</v>
      </c>
      <c r="F19" s="1075">
        <f>SUBTOTAL(9,F9:F18)</f>
        <v>1644</v>
      </c>
      <c r="G19" s="1076"/>
      <c r="H19" s="1077">
        <f ca="1">SUMIF(B9:B18,"TOTAL",H9:H18)</f>
        <v>183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0nBHZ1f1/5mNdilXB4kotDDiIeYVEnKUCNEMA3K1yti9uRwx6qGTMahA7nBRBy1kp0AqMo9Q9SIExu0BqX/r5g==" saltValue="g94oeokay7olhrtUj8yuf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5cYV/dBKcs9S+yL7esoM/ti2BipEpMIrHRKjwvXpAWVo1C2Q6GImZ4G2VB8Kyt4EUEbvKacRnOBrCLYdLBeVA==" saltValue="Wx0f3r+lZCZQhnhBc5lP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3893</v>
      </c>
      <c r="J9" s="184">
        <v>1686</v>
      </c>
      <c r="K9" s="184">
        <v>1595</v>
      </c>
      <c r="L9" s="184">
        <v>3982</v>
      </c>
      <c r="M9" s="184">
        <v>549</v>
      </c>
      <c r="N9" s="184">
        <v>596</v>
      </c>
      <c r="O9" s="184">
        <v>853</v>
      </c>
      <c r="P9" s="184">
        <v>441</v>
      </c>
      <c r="Q9" s="184">
        <v>523</v>
      </c>
      <c r="R9" s="184">
        <v>4846</v>
      </c>
      <c r="S9" s="184">
        <v>3866</v>
      </c>
      <c r="T9" s="184">
        <v>1883</v>
      </c>
      <c r="U9" s="184">
        <v>1862</v>
      </c>
      <c r="V9" s="184">
        <v>3887</v>
      </c>
      <c r="W9" s="184">
        <v>487</v>
      </c>
      <c r="X9" s="191">
        <v>814</v>
      </c>
      <c r="Y9" s="194">
        <v>90</v>
      </c>
      <c r="Z9" s="184">
        <v>135</v>
      </c>
      <c r="AA9" s="184">
        <v>123</v>
      </c>
      <c r="AB9" s="184">
        <v>100</v>
      </c>
      <c r="AC9" s="184">
        <v>0</v>
      </c>
      <c r="AD9" s="184">
        <v>0</v>
      </c>
      <c r="AE9" s="184">
        <v>0</v>
      </c>
      <c r="AF9" s="191">
        <v>0</v>
      </c>
      <c r="AG9" s="194">
        <v>249</v>
      </c>
      <c r="AH9" s="184">
        <v>304</v>
      </c>
      <c r="AI9" s="184">
        <v>311</v>
      </c>
      <c r="AJ9" s="195">
        <v>242</v>
      </c>
      <c r="AK9" s="183">
        <v>0</v>
      </c>
      <c r="AL9" s="184">
        <v>0</v>
      </c>
      <c r="AM9" s="184">
        <v>0</v>
      </c>
      <c r="AN9" s="191">
        <v>0</v>
      </c>
      <c r="AO9" s="261">
        <v>5</v>
      </c>
      <c r="AP9" s="157">
        <v>5</v>
      </c>
      <c r="AQ9" s="157">
        <v>5</v>
      </c>
      <c r="AR9" s="196">
        <v>5</v>
      </c>
      <c r="AS9" s="341" t="s">
        <v>799</v>
      </c>
      <c r="AT9" s="198"/>
      <c r="AU9" s="197"/>
      <c r="AV9" s="198"/>
      <c r="AW9" s="197"/>
      <c r="AX9" s="198"/>
      <c r="AY9" s="123">
        <f>IF(ISNUMBER(IF(J_V="SI",S9,S9+AG9)),IF(J_V="SI",S9,S9+AG9)," - ")</f>
        <v>4115</v>
      </c>
      <c r="AZ9" s="123">
        <f>IF(ISNUMBER(IF(J_V="SI",T9,T9+AH9)),IF(J_V="SI",T9,T9+AH9)," - ")</f>
        <v>2187</v>
      </c>
      <c r="BA9" s="124">
        <f>IF(ISNUMBER(IF(J_V="SI",U9,U9+AI9)),IF(J_V="SI",U9,U9+AI9)," - ")</f>
        <v>2173</v>
      </c>
      <c r="BB9" s="124">
        <f>IF(ISNUMBER(IF(J_V="SI",V9,V9+AJ9)),IF(J_V="SI",V9,V9+AJ9)," - ")</f>
        <v>4129</v>
      </c>
      <c r="BC9" s="125">
        <f>IF(ISNUMBER(X9),X9," - ")</f>
        <v>814</v>
      </c>
      <c r="BD9" s="126">
        <f>IF(ISNUMBER(BA9/AZ9),BA9/AZ9," - ")</f>
        <v>0.99359853680841337</v>
      </c>
      <c r="BE9" s="127">
        <f>IF(ISNUMBER(BB9/BA9),BB9/BA9, " - ")</f>
        <v>1.9001380579843534</v>
      </c>
      <c r="BF9" s="127">
        <f>IF(ISNUMBER(BC9/BA9),BC9/BA9, " - ")</f>
        <v>0.37459733087896918</v>
      </c>
      <c r="BG9" s="199">
        <f>IF(ISNUMBER((AY9+AZ9)/BA9),(AY9+AZ9)/BA9," - ")</f>
        <v>2.9001380579843534</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89</v>
      </c>
      <c r="J10" s="184">
        <v>14</v>
      </c>
      <c r="K10" s="184">
        <v>30</v>
      </c>
      <c r="L10" s="184">
        <v>73</v>
      </c>
      <c r="M10" s="184">
        <v>8</v>
      </c>
      <c r="N10" s="184">
        <v>5</v>
      </c>
      <c r="O10" s="184">
        <v>1</v>
      </c>
      <c r="P10" s="184">
        <v>0</v>
      </c>
      <c r="Q10" s="184">
        <v>0</v>
      </c>
      <c r="R10" s="184">
        <v>53</v>
      </c>
      <c r="S10" s="184">
        <v>87</v>
      </c>
      <c r="T10" s="184">
        <v>20</v>
      </c>
      <c r="U10" s="184">
        <v>11</v>
      </c>
      <c r="V10" s="184">
        <v>96</v>
      </c>
      <c r="W10" s="184">
        <v>4</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793</v>
      </c>
      <c r="AT10" s="195"/>
      <c r="AU10" s="203"/>
      <c r="AV10" s="195"/>
      <c r="AW10" s="203"/>
      <c r="AX10" s="195"/>
      <c r="AY10" s="128">
        <f t="shared" ref="AY10:BC10" si="0">IF(ISNUMBER(S10),S10," - ")</f>
        <v>87</v>
      </c>
      <c r="AZ10" s="129">
        <f t="shared" si="0"/>
        <v>20</v>
      </c>
      <c r="BA10" s="129">
        <f t="shared" si="0"/>
        <v>11</v>
      </c>
      <c r="BB10" s="129">
        <f t="shared" si="0"/>
        <v>96</v>
      </c>
      <c r="BC10" s="125">
        <f t="shared" si="0"/>
        <v>4</v>
      </c>
      <c r="BD10" s="126">
        <f>IF(ISNUMBER(BA10/AZ10),BA10/AZ10," - ")</f>
        <v>0.55000000000000004</v>
      </c>
      <c r="BE10" s="127">
        <f>IF(ISNUMBER(BB10/BA10),BB10/BA10, " - ")</f>
        <v>8.7272727272727266</v>
      </c>
      <c r="BF10" s="127">
        <f>IF(ISNUMBER(BC10/BA10),BC10/BA10, " - ")</f>
        <v>0.36363636363636365</v>
      </c>
      <c r="BG10" s="199">
        <f>IF(ISNUMBER((AY10+AZ10)/BA10),(AY10+AZ10)/BA10," - ")</f>
        <v>9.7272727272727266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236</v>
      </c>
      <c r="J11" s="186">
        <v>219</v>
      </c>
      <c r="K11" s="186">
        <v>159</v>
      </c>
      <c r="L11" s="186">
        <v>285</v>
      </c>
      <c r="M11" s="186">
        <v>61</v>
      </c>
      <c r="N11" s="186">
        <v>152</v>
      </c>
      <c r="O11" s="184">
        <v>25</v>
      </c>
      <c r="P11" s="186">
        <v>8</v>
      </c>
      <c r="Q11" s="186">
        <v>1</v>
      </c>
      <c r="R11" s="186">
        <v>17</v>
      </c>
      <c r="S11" s="186">
        <v>0</v>
      </c>
      <c r="T11" s="186">
        <v>0</v>
      </c>
      <c r="U11" s="186">
        <v>0</v>
      </c>
      <c r="V11" s="186">
        <v>0</v>
      </c>
      <c r="W11" s="186">
        <v>0</v>
      </c>
      <c r="X11" s="192">
        <v>0</v>
      </c>
      <c r="Y11" s="194">
        <v>62</v>
      </c>
      <c r="Z11" s="184">
        <v>155</v>
      </c>
      <c r="AA11" s="184">
        <v>161</v>
      </c>
      <c r="AB11" s="184">
        <v>56</v>
      </c>
      <c r="AC11" s="186">
        <v>0</v>
      </c>
      <c r="AD11" s="186">
        <v>0</v>
      </c>
      <c r="AE11" s="186">
        <v>0</v>
      </c>
      <c r="AF11" s="192">
        <v>0</v>
      </c>
      <c r="AG11" s="205">
        <v>0</v>
      </c>
      <c r="AH11" s="186">
        <v>0</v>
      </c>
      <c r="AI11" s="186">
        <v>0</v>
      </c>
      <c r="AJ11" s="206">
        <v>0</v>
      </c>
      <c r="AK11" s="185">
        <v>0</v>
      </c>
      <c r="AL11" s="186">
        <v>0</v>
      </c>
      <c r="AM11" s="186">
        <v>0</v>
      </c>
      <c r="AN11" s="192">
        <v>0</v>
      </c>
      <c r="AO11" s="262">
        <v>1</v>
      </c>
      <c r="AP11" s="158">
        <v>1</v>
      </c>
      <c r="AQ11" s="158">
        <v>1</v>
      </c>
      <c r="AR11" s="157">
        <v>1</v>
      </c>
      <c r="AS11" s="343" t="s">
        <v>800</v>
      </c>
      <c r="AT11" s="206"/>
      <c r="AU11" s="205"/>
      <c r="AV11" s="206"/>
      <c r="AW11" s="205"/>
      <c r="AX11" s="206"/>
      <c r="AY11" s="126">
        <f t="shared" ref="AY11:BB12" si="1">IF(ISNUMBER(IF(J_V="SI",S11,S11+AG11)),IF(J_V="SI",S11,S11+AG11)," - ")</f>
        <v>0</v>
      </c>
      <c r="AZ11" s="127">
        <f t="shared" si="1"/>
        <v>0</v>
      </c>
      <c r="BA11" s="127">
        <f t="shared" si="1"/>
        <v>0</v>
      </c>
      <c r="BB11" s="127">
        <f t="shared" si="1"/>
        <v>0</v>
      </c>
      <c r="BC11" s="125">
        <f>IF(ISNUMBER(X11),X11," - ")</f>
        <v>0</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v>
      </c>
      <c r="J12" s="186">
        <v>0</v>
      </c>
      <c r="K12" s="186">
        <v>0</v>
      </c>
      <c r="L12" s="186">
        <v>2</v>
      </c>
      <c r="M12" s="186">
        <v>0</v>
      </c>
      <c r="N12" s="186">
        <v>0</v>
      </c>
      <c r="O12" s="184">
        <v>3</v>
      </c>
      <c r="P12" s="186">
        <v>3</v>
      </c>
      <c r="Q12" s="186">
        <v>2</v>
      </c>
      <c r="R12" s="186">
        <v>387</v>
      </c>
      <c r="S12" s="186">
        <v>10</v>
      </c>
      <c r="T12" s="186">
        <v>3</v>
      </c>
      <c r="U12" s="186">
        <v>0</v>
      </c>
      <c r="V12" s="186">
        <v>13</v>
      </c>
      <c r="W12" s="186">
        <v>0</v>
      </c>
      <c r="X12" s="192">
        <v>0</v>
      </c>
      <c r="Y12" s="194">
        <v>0</v>
      </c>
      <c r="Z12" s="184">
        <v>0</v>
      </c>
      <c r="AA12" s="184">
        <v>0</v>
      </c>
      <c r="AB12" s="184">
        <v>0</v>
      </c>
      <c r="AC12" s="186">
        <v>0</v>
      </c>
      <c r="AD12" s="186">
        <v>0</v>
      </c>
      <c r="AE12" s="186">
        <v>0</v>
      </c>
      <c r="AF12" s="192">
        <v>0</v>
      </c>
      <c r="AG12" s="205">
        <v>0</v>
      </c>
      <c r="AH12" s="186">
        <v>1</v>
      </c>
      <c r="AI12" s="186">
        <v>0</v>
      </c>
      <c r="AJ12" s="206">
        <v>1</v>
      </c>
      <c r="AK12" s="185">
        <v>0</v>
      </c>
      <c r="AL12" s="186">
        <v>0</v>
      </c>
      <c r="AM12" s="186">
        <v>0</v>
      </c>
      <c r="AN12" s="192">
        <v>0</v>
      </c>
      <c r="AO12" s="262">
        <v>0</v>
      </c>
      <c r="AP12" s="158">
        <v>0</v>
      </c>
      <c r="AQ12" s="158">
        <v>0</v>
      </c>
      <c r="AR12" s="157">
        <v>0</v>
      </c>
      <c r="AS12" s="343" t="s">
        <v>801</v>
      </c>
      <c r="AT12" s="206"/>
      <c r="AU12" s="205"/>
      <c r="AV12" s="206"/>
      <c r="AW12" s="205"/>
      <c r="AX12" s="206"/>
      <c r="AY12" s="126">
        <f t="shared" si="1"/>
        <v>10</v>
      </c>
      <c r="AZ12" s="127">
        <f t="shared" si="1"/>
        <v>4</v>
      </c>
      <c r="BA12" s="127">
        <f t="shared" si="1"/>
        <v>0</v>
      </c>
      <c r="BB12" s="127">
        <f t="shared" si="1"/>
        <v>14</v>
      </c>
      <c r="BC12" s="125">
        <f>IF(ISNUMBER(X12),X12," - ")</f>
        <v>0</v>
      </c>
      <c r="BD12" s="126">
        <f t="shared" si="2"/>
        <v>0</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4220</v>
      </c>
      <c r="J13" s="187">
        <f t="shared" si="6"/>
        <v>1919</v>
      </c>
      <c r="K13" s="187">
        <f t="shared" si="6"/>
        <v>1784</v>
      </c>
      <c r="L13" s="187">
        <f t="shared" si="6"/>
        <v>4342</v>
      </c>
      <c r="M13" s="187">
        <f t="shared" si="6"/>
        <v>618</v>
      </c>
      <c r="N13" s="187">
        <f t="shared" si="6"/>
        <v>753</v>
      </c>
      <c r="O13" s="187">
        <f t="shared" si="6"/>
        <v>882</v>
      </c>
      <c r="P13" s="187">
        <f t="shared" si="6"/>
        <v>452</v>
      </c>
      <c r="Q13" s="187">
        <f t="shared" si="6"/>
        <v>526</v>
      </c>
      <c r="R13" s="187">
        <f t="shared" si="6"/>
        <v>5303</v>
      </c>
      <c r="S13" s="187">
        <f t="shared" si="6"/>
        <v>3963</v>
      </c>
      <c r="T13" s="187">
        <f t="shared" si="6"/>
        <v>1906</v>
      </c>
      <c r="U13" s="187">
        <f t="shared" si="6"/>
        <v>1873</v>
      </c>
      <c r="V13" s="187">
        <f t="shared" si="6"/>
        <v>3996</v>
      </c>
      <c r="W13" s="187">
        <f t="shared" si="6"/>
        <v>491</v>
      </c>
      <c r="X13" s="187">
        <f t="shared" si="6"/>
        <v>817</v>
      </c>
      <c r="Y13" s="187">
        <f t="shared" si="6"/>
        <v>152</v>
      </c>
      <c r="Z13" s="187">
        <f t="shared" si="6"/>
        <v>290</v>
      </c>
      <c r="AA13" s="187">
        <f t="shared" si="6"/>
        <v>284</v>
      </c>
      <c r="AB13" s="187">
        <f t="shared" si="6"/>
        <v>156</v>
      </c>
      <c r="AC13" s="187">
        <f t="shared" si="6"/>
        <v>0</v>
      </c>
      <c r="AD13" s="187">
        <f t="shared" si="6"/>
        <v>0</v>
      </c>
      <c r="AE13" s="187">
        <f t="shared" si="6"/>
        <v>0</v>
      </c>
      <c r="AF13" s="187">
        <f>SUBTOTAL(9,AF9:AF12)</f>
        <v>0</v>
      </c>
      <c r="AG13" s="187">
        <f t="shared" ref="AG13:AT13" si="7">SUBTOTAL(9,AG8:AG12)</f>
        <v>249</v>
      </c>
      <c r="AH13" s="187">
        <f t="shared" si="7"/>
        <v>305</v>
      </c>
      <c r="AI13" s="187">
        <f t="shared" si="7"/>
        <v>311</v>
      </c>
      <c r="AJ13" s="187">
        <f t="shared" si="7"/>
        <v>243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4212</v>
      </c>
      <c r="AZ13" s="187">
        <f>SUBTOTAL(9,AZ8:AZ12)</f>
        <v>2211</v>
      </c>
      <c r="BA13" s="187">
        <f>SUBTOTAL(9,BA8:BA12)</f>
        <v>2184</v>
      </c>
      <c r="BB13" s="187">
        <f>SUBTOTAL(9,BB8:BB12)</f>
        <v>4239</v>
      </c>
      <c r="BC13" s="187">
        <f>SUBTOTAL(9,BC8:BC12)</f>
        <v>818</v>
      </c>
      <c r="BD13" s="208">
        <f>IF(ISNUMBER(BA13/AZ13),BA13/AZ13," - ")</f>
        <v>0.98778833107191311</v>
      </c>
      <c r="BE13" s="209">
        <f>IF(ISNUMBER(BB13/BA13),BB13/BA13, " - ")</f>
        <v>1.9409340659340659</v>
      </c>
      <c r="BF13" s="209">
        <f>IF(ISNUMBER(BC13/BA13),BC13/BA13, " - ")</f>
        <v>0.37454212454212454</v>
      </c>
      <c r="BG13" s="210">
        <f>IF(ISNUMBER((AY13+AZ13)/BA13),(AY13+AZ13)/BA13," - ")</f>
        <v>2.9409340659340661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2483</v>
      </c>
      <c r="J15" s="186">
        <v>1525</v>
      </c>
      <c r="K15" s="186">
        <v>1487</v>
      </c>
      <c r="L15" s="186">
        <v>2174</v>
      </c>
      <c r="M15" s="186">
        <v>219</v>
      </c>
      <c r="N15" s="186">
        <v>825</v>
      </c>
      <c r="O15" s="184">
        <v>0</v>
      </c>
      <c r="P15" s="186">
        <v>50</v>
      </c>
      <c r="Q15" s="186">
        <v>51</v>
      </c>
      <c r="R15" s="186">
        <v>230</v>
      </c>
      <c r="S15" s="186">
        <v>1792</v>
      </c>
      <c r="T15" s="186">
        <v>1214</v>
      </c>
      <c r="U15" s="186">
        <v>1167</v>
      </c>
      <c r="V15" s="186">
        <v>1841</v>
      </c>
      <c r="W15" s="186">
        <v>170</v>
      </c>
      <c r="X15" s="192">
        <v>674</v>
      </c>
      <c r="Y15" s="205">
        <v>0</v>
      </c>
      <c r="Z15" s="186">
        <v>0</v>
      </c>
      <c r="AA15" s="186">
        <v>0</v>
      </c>
      <c r="AB15" s="186">
        <v>0</v>
      </c>
      <c r="AC15" s="186">
        <v>0</v>
      </c>
      <c r="AD15" s="186">
        <v>1</v>
      </c>
      <c r="AE15" s="186">
        <v>1</v>
      </c>
      <c r="AF15" s="192">
        <v>0</v>
      </c>
      <c r="AG15" s="205">
        <v>0</v>
      </c>
      <c r="AH15" s="186">
        <v>0</v>
      </c>
      <c r="AI15" s="186">
        <v>0</v>
      </c>
      <c r="AJ15" s="206">
        <v>0</v>
      </c>
      <c r="AK15" s="185">
        <v>0</v>
      </c>
      <c r="AL15" s="186">
        <v>8</v>
      </c>
      <c r="AM15" s="186">
        <v>8</v>
      </c>
      <c r="AN15" s="192">
        <v>0</v>
      </c>
      <c r="AO15" s="262">
        <v>3</v>
      </c>
      <c r="AP15" s="158">
        <v>3</v>
      </c>
      <c r="AQ15" s="158">
        <v>3</v>
      </c>
      <c r="AR15" s="158">
        <v>3</v>
      </c>
      <c r="AS15" s="343" t="s">
        <v>526</v>
      </c>
      <c r="AT15" s="206" t="s">
        <v>325</v>
      </c>
      <c r="AU15" s="205"/>
      <c r="AV15" s="206"/>
      <c r="AW15" s="205"/>
      <c r="AX15" s="206"/>
      <c r="AY15" s="128">
        <f t="shared" ref="AY15:BB16" si="9">IF(ISNUMBER(IF(D_I="SI",S15,S15+AK15)),IF(D_I="SI",S15,S15+AK15)," - ")</f>
        <v>1792</v>
      </c>
      <c r="AZ15" s="129">
        <f t="shared" si="9"/>
        <v>1214</v>
      </c>
      <c r="BA15" s="129">
        <f t="shared" si="9"/>
        <v>1167</v>
      </c>
      <c r="BB15" s="129">
        <f t="shared" si="9"/>
        <v>1841</v>
      </c>
      <c r="BC15" s="125">
        <f>IF(ISNUMBER(W15),W15," - ")</f>
        <v>170</v>
      </c>
      <c r="BD15" s="126">
        <f>IF(ISNUMBER(BA15/AZ15),BA15/AZ15," - ")</f>
        <v>0.96128500823723229</v>
      </c>
      <c r="BE15" s="127">
        <f>IF(ISNUMBER(BB15/BA15),BB15/BA15, " - ")</f>
        <v>1.5775492716366752</v>
      </c>
      <c r="BF15" s="127">
        <f>IF(ISNUMBER(BC15/BA15),BC15/BA15, " - ")</f>
        <v>0.1456726649528706</v>
      </c>
      <c r="BG15" s="199">
        <f t="shared" ref="BG15:BG16" si="10">IF(ISNUMBER((AY15+AZ15)/BA15),(AY15+AZ15)/BA15," - ")</f>
        <v>2.5758354755784061</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193</v>
      </c>
      <c r="J17" s="186">
        <v>117</v>
      </c>
      <c r="K17" s="186">
        <v>127</v>
      </c>
      <c r="L17" s="186">
        <v>183</v>
      </c>
      <c r="M17" s="186">
        <v>2</v>
      </c>
      <c r="N17" s="186">
        <v>79</v>
      </c>
      <c r="O17" s="186">
        <v>0</v>
      </c>
      <c r="P17" s="186">
        <v>0</v>
      </c>
      <c r="Q17" s="186">
        <v>0</v>
      </c>
      <c r="R17" s="186">
        <v>0</v>
      </c>
      <c r="S17" s="186">
        <v>185</v>
      </c>
      <c r="T17" s="186">
        <v>114</v>
      </c>
      <c r="U17" s="186">
        <v>105</v>
      </c>
      <c r="V17" s="186">
        <v>194</v>
      </c>
      <c r="W17" s="186">
        <v>5</v>
      </c>
      <c r="X17" s="192">
        <v>73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792</v>
      </c>
      <c r="AT17" s="212"/>
      <c r="AU17" s="203"/>
      <c r="AV17" s="212"/>
      <c r="AW17" s="203"/>
      <c r="AX17" s="212"/>
      <c r="AY17" s="128">
        <f t="shared" ref="AY17:BB17" si="14">IF(ISNUMBER(S17),S17," - ")</f>
        <v>185</v>
      </c>
      <c r="AZ17" s="129">
        <f t="shared" si="14"/>
        <v>114</v>
      </c>
      <c r="BA17" s="129">
        <f t="shared" si="14"/>
        <v>105</v>
      </c>
      <c r="BB17" s="129">
        <f t="shared" si="14"/>
        <v>194</v>
      </c>
      <c r="BC17" s="125">
        <f>IF(ISNUMBER(W17),W17," - ")</f>
        <v>5</v>
      </c>
      <c r="BD17" s="126">
        <f>IF(ISNUMBER(BA17/AZ17),BA17/AZ17," - ")</f>
        <v>0.92105263157894735</v>
      </c>
      <c r="BE17" s="127">
        <f>IF(ISNUMBER(BB17/BA17),BB17/BA17, " - ")</f>
        <v>1.8476190476190477</v>
      </c>
      <c r="BF17" s="127">
        <f>IF(ISNUMBER(BC17/BA17),BC17/BA17, " - ")</f>
        <v>4.7619047619047616E-2</v>
      </c>
      <c r="BG17" s="199">
        <f>IF(ISNUMBER((AY17+AZ17)/BA17),(AY17+AZ17)/BA17," - ")</f>
        <v>2.8476190476190477</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2676</v>
      </c>
      <c r="J18" s="187">
        <f t="shared" si="15"/>
        <v>1642</v>
      </c>
      <c r="K18" s="187">
        <f t="shared" si="15"/>
        <v>1614</v>
      </c>
      <c r="L18" s="187">
        <f t="shared" si="15"/>
        <v>2357</v>
      </c>
      <c r="M18" s="187">
        <f t="shared" si="15"/>
        <v>221</v>
      </c>
      <c r="N18" s="187">
        <f t="shared" si="15"/>
        <v>904</v>
      </c>
      <c r="O18" s="187">
        <f t="shared" si="15"/>
        <v>0</v>
      </c>
      <c r="P18" s="187">
        <f t="shared" si="15"/>
        <v>50</v>
      </c>
      <c r="Q18" s="187">
        <f t="shared" si="15"/>
        <v>51</v>
      </c>
      <c r="R18" s="187">
        <f t="shared" si="15"/>
        <v>230</v>
      </c>
      <c r="S18" s="187">
        <f t="shared" si="15"/>
        <v>1977</v>
      </c>
      <c r="T18" s="187">
        <f t="shared" si="15"/>
        <v>1328</v>
      </c>
      <c r="U18" s="187">
        <f t="shared" si="15"/>
        <v>1272</v>
      </c>
      <c r="V18" s="187">
        <f t="shared" si="15"/>
        <v>2035</v>
      </c>
      <c r="W18" s="187">
        <f t="shared" si="15"/>
        <v>175</v>
      </c>
      <c r="X18" s="187">
        <f t="shared" si="15"/>
        <v>747</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1977</v>
      </c>
      <c r="AZ18" s="187">
        <f>SUBTOTAL(9,AZ14:AZ17)</f>
        <v>1328</v>
      </c>
      <c r="BA18" s="187">
        <f>SUBTOTAL(9,BA14:BA17)</f>
        <v>1272</v>
      </c>
      <c r="BB18" s="187">
        <f>SUBTOTAL(9,BB14:BB17)</f>
        <v>2035</v>
      </c>
      <c r="BC18" s="187">
        <f>SUBTOTAL(9,BC14:BC17)</f>
        <v>175</v>
      </c>
      <c r="BD18" s="208">
        <f>IF(ISNUMBER(BA18/AZ18),BA18/AZ18," - ")</f>
        <v>0.95783132530120485</v>
      </c>
      <c r="BE18" s="209">
        <f>IF(ISNUMBER(BB18/BA18),BB18/BA18, " - ")</f>
        <v>1.5998427672955975</v>
      </c>
      <c r="BF18" s="209">
        <f>IF(ISNUMBER(BC18/BA18),BC18/BA18, " - ")</f>
        <v>0.13757861635220126</v>
      </c>
      <c r="BG18" s="210">
        <f>IF(ISNUMBER((AY18+AZ18)/BA18),(AY18+AZ18)/BA18," - ")</f>
        <v>2.5982704402515724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6896</v>
      </c>
      <c r="J19" s="134">
        <f t="shared" si="18"/>
        <v>3561</v>
      </c>
      <c r="K19" s="134">
        <f t="shared" si="18"/>
        <v>3398</v>
      </c>
      <c r="L19" s="134">
        <f t="shared" si="18"/>
        <v>6699</v>
      </c>
      <c r="M19" s="134">
        <f t="shared" si="18"/>
        <v>839</v>
      </c>
      <c r="N19" s="134">
        <f t="shared" si="18"/>
        <v>1657</v>
      </c>
      <c r="O19" s="134">
        <f t="shared" si="18"/>
        <v>882</v>
      </c>
      <c r="P19" s="134">
        <f t="shared" si="18"/>
        <v>502</v>
      </c>
      <c r="Q19" s="134">
        <f t="shared" si="18"/>
        <v>577</v>
      </c>
      <c r="R19" s="134">
        <f t="shared" si="18"/>
        <v>5533</v>
      </c>
      <c r="S19" s="134">
        <f t="shared" si="18"/>
        <v>5940</v>
      </c>
      <c r="T19" s="134">
        <f t="shared" si="18"/>
        <v>3234</v>
      </c>
      <c r="U19" s="134">
        <f t="shared" si="18"/>
        <v>3145</v>
      </c>
      <c r="V19" s="134">
        <f t="shared" si="18"/>
        <v>6031</v>
      </c>
      <c r="W19" s="134">
        <f t="shared" si="18"/>
        <v>666</v>
      </c>
      <c r="X19" s="134">
        <f t="shared" si="18"/>
        <v>1564</v>
      </c>
      <c r="Y19" s="134">
        <f t="shared" si="18"/>
        <v>152</v>
      </c>
      <c r="Z19" s="134">
        <f t="shared" si="18"/>
        <v>290</v>
      </c>
      <c r="AA19" s="134">
        <f t="shared" si="18"/>
        <v>284</v>
      </c>
      <c r="AB19" s="134">
        <f t="shared" si="18"/>
        <v>156</v>
      </c>
      <c r="AC19" s="134">
        <f t="shared" si="18"/>
        <v>0</v>
      </c>
      <c r="AD19" s="134">
        <f t="shared" si="18"/>
        <v>1</v>
      </c>
      <c r="AE19" s="134">
        <f t="shared" si="18"/>
        <v>1</v>
      </c>
      <c r="AF19" s="134">
        <f t="shared" si="18"/>
        <v>0</v>
      </c>
      <c r="AG19" s="134">
        <f t="shared" si="18"/>
        <v>249</v>
      </c>
      <c r="AH19" s="134">
        <f t="shared" si="18"/>
        <v>305</v>
      </c>
      <c r="AI19" s="134">
        <f t="shared" si="18"/>
        <v>311</v>
      </c>
      <c r="AJ19" s="134">
        <f t="shared" si="18"/>
        <v>243</v>
      </c>
      <c r="AK19" s="134">
        <f t="shared" si="18"/>
        <v>0</v>
      </c>
      <c r="AL19" s="134">
        <f t="shared" si="18"/>
        <v>8</v>
      </c>
      <c r="AM19" s="134">
        <f t="shared" si="18"/>
        <v>8</v>
      </c>
      <c r="AN19" s="213">
        <f t="shared" si="18"/>
        <v>0</v>
      </c>
      <c r="AO19" s="214">
        <v>10</v>
      </c>
      <c r="AP19" s="214">
        <v>9</v>
      </c>
      <c r="AQ19" s="214">
        <v>9</v>
      </c>
      <c r="AR19" s="214">
        <v>9</v>
      </c>
      <c r="AS19" s="156">
        <f t="shared" si="18"/>
        <v>0</v>
      </c>
      <c r="AT19" s="156">
        <f t="shared" si="18"/>
        <v>0</v>
      </c>
      <c r="AU19" s="214"/>
      <c r="AV19" s="215"/>
      <c r="AW19" s="214"/>
      <c r="AX19" s="215"/>
      <c r="AY19" s="133">
        <f>SUBTOTAL(9,AY9:AY18)</f>
        <v>6189</v>
      </c>
      <c r="AZ19" s="134">
        <f>SUBTOTAL(9,AZ9:AZ18)</f>
        <v>3539</v>
      </c>
      <c r="BA19" s="134">
        <f>SUBTOTAL(9,BA9:BA18)</f>
        <v>3456</v>
      </c>
      <c r="BB19" s="134">
        <f>SUBTOTAL(9,BB9:BB18)</f>
        <v>6274</v>
      </c>
      <c r="BC19" s="135">
        <f>SUBTOTAL(9,BC9:BC18)</f>
        <v>993</v>
      </c>
      <c r="BD19" s="216">
        <f>IF(ISNUMBER(BA19/AZ19),BA19/AZ19," - ")</f>
        <v>0.9765470471884713</v>
      </c>
      <c r="BE19" s="213">
        <f>IF(ISNUMBER(BB19/BA19),BB19/BA19, " - ")</f>
        <v>1.8153935185185186</v>
      </c>
      <c r="BF19" s="213">
        <f>IF(ISNUMBER(BC19/BA19),BC19/BA19, " - ")</f>
        <v>0.2873263888888889</v>
      </c>
      <c r="BG19" s="135">
        <f>IF(ISNUMBER((AY19+AZ19)/BA19),(AY19+AZ19)/BA19," - ")</f>
        <v>2.8148148148148149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0ZbeSz/mAniaIm3Acrp3iM935HQA/R882Zm5UsbqxOSTktsot14YQrMvP274f/geyngUfbvaLyVNDSDkO37tw==" saltValue="lMomh+EUMo84bL2ujVT/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gfR4bEWmcphO4utnH1bFQ/AcppmSoTEJFiCEhxAmA3+98BWLfd8njzt8IgTdQZMy3+fnK80Fxw8fGy5eMZF3Q==" saltValue="LyAsCjDcrvdCUXNMz+Gm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LUGO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245</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135</v>
      </c>
      <c r="O9" s="337"/>
      <c r="P9" s="337"/>
      <c r="Q9" s="229">
        <f>IF(ISNUMBER(Datos!P9),Datos!P9,0)</f>
        <v>441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523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100</v>
      </c>
      <c r="AI9" s="337" t="str">
        <f>IF(ISNUMBER(Datos!CD9),Datos!CD9,"-")</f>
        <v>-</v>
      </c>
      <c r="AJ9" s="337" t="str">
        <f>IF(ISNUMBER(Datos!EN9),Datos!EN9," - ")</f>
        <v xml:space="preserve"> - </v>
      </c>
      <c r="AK9" s="337"/>
      <c r="AL9" s="482"/>
      <c r="AM9" s="338">
        <f>IF(ISNUMBER(Datos!R9),Datos!R9," - ")</f>
        <v>4846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549</v>
      </c>
      <c r="BD9" s="232">
        <f>IF(ISNUMBER(Datos!N9),Datos!N9," - ")</f>
        <v>596</v>
      </c>
      <c r="BE9" s="232" t="str">
        <f>IF(ISNUMBER(Datos!BW9),Datos!BW9," - ")</f>
        <v xml:space="preserve"> - </v>
      </c>
      <c r="BF9" s="231" t="str">
        <f>IF(ISNUMBER(Datos!BX9),Datos!BX9," - ")</f>
        <v xml:space="preserve"> - </v>
      </c>
      <c r="BG9" s="246">
        <f>IF(ISNUMBER(IF(J_V="SI",Datos!K9/Datos!J9,(Datos!K9+Datos!AA9)/(Datos!J9+Datos!Z9))),IF(J_V="SI",Datos!K9/Datos!J9,(Datos!K9+Datos!AA9)/(Datos!J9+Datos!Z9))," - ")</f>
        <v>0.94343767160900605</v>
      </c>
      <c r="BH9" s="263">
        <f>IF(ISNUMBER(((IF(J_V="SI",Datos!L9/Datos!K9,(Datos!L9+Datos!AB9)/(Datos!K9+Datos!AA9)))*11)/factor_trimestre),((IF(J_V="SI",Datos!L9/Datos!K9,(Datos!L9+Datos!AB9)/(Datos!K9+Datos!AA9)))*11)/factor_trimestre," - ")</f>
        <v>7.1280558789289872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-1.6639610389610388E-2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0</v>
      </c>
      <c r="F10" s="228">
        <f>IF(ISNUMBER(Datos!L10+Datos!K10-Datos!J10),Datos!L10+Datos!K10-Datos!J10," - ")</f>
        <v>89</v>
      </c>
      <c r="G10" s="336">
        <f>IF(ISNUMBER(Datos!I10),Datos!I10," - ")</f>
        <v>89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30</v>
      </c>
      <c r="AC10" s="229">
        <f>IF(ISNUMBER(Datos!Q10),Datos!Q10," - ")</f>
        <v>0</v>
      </c>
      <c r="AD10" s="337"/>
      <c r="AE10" s="487"/>
      <c r="AF10" s="335">
        <f>IF(ISNUMBER(Datos!L10),Datos!L10,"-")</f>
        <v>73</v>
      </c>
      <c r="AG10" s="337"/>
      <c r="AH10" s="337"/>
      <c r="AI10" s="337"/>
      <c r="AJ10" s="337"/>
      <c r="AK10" s="337"/>
      <c r="AL10" s="482"/>
      <c r="AM10" s="338">
        <f>IF(ISNUMBER(Datos!R10),Datos!R10," - ")</f>
        <v>53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5</v>
      </c>
      <c r="BE10" s="232" t="str">
        <f>IF(ISNUMBER(Datos!BW10),Datos!BW10," - ")</f>
        <v xml:space="preserve"> - </v>
      </c>
      <c r="BF10" s="231" t="str">
        <f>IF(ISNUMBER(Datos!BX10),Datos!BX10," - ")</f>
        <v xml:space="preserve"> - </v>
      </c>
      <c r="BG10" s="246">
        <f>IF(ISNUMBER(Datos!K10/Datos!J10),Datos!K10/Datos!J10," - ")</f>
        <v>2.1428571428571428</v>
      </c>
      <c r="BH10" s="263">
        <f>IF(ISNUMBER(((Datos!L10/Datos!K10)*11)/factor_trimestre),((Datos!L10/Datos!K10)*11)/factor_trimestre," - ")</f>
        <v>7.3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155</v>
      </c>
      <c r="O11" s="337"/>
      <c r="P11" s="337"/>
      <c r="Q11" s="229">
        <f>IF(ISNUMBER(Datos!P11),Datos!P11,0)</f>
        <v>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v>
      </c>
      <c r="AD11" s="337"/>
      <c r="AE11" s="487"/>
      <c r="AF11" s="335" t="str">
        <f>IF(ISNUMBER(IF(J_V="SI",Datos!L11,Datos!L11+Datos!AB11)-IF(Monitorios="SI",Datos!CD11,0)),
                          IF(J_V="SI",Datos!L11,Datos!L11+Datos!AB11)-IF(Monitorios="SI",Datos!CD11,0),
                          " - ")</f>
        <v xml:space="preserve"> - </v>
      </c>
      <c r="AG11" s="337"/>
      <c r="AH11" s="337">
        <f>IF(ISNUMBER(Datos!AB11),Datos!AB11,"-")</f>
        <v>56</v>
      </c>
      <c r="AI11" s="337"/>
      <c r="AJ11" s="337"/>
      <c r="AK11" s="337"/>
      <c r="AL11" s="482"/>
      <c r="AM11" s="338">
        <f>IF(ISNUMBER(Datos!R11),Datos!R11," - ")</f>
        <v>17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61</v>
      </c>
      <c r="BD11" s="232">
        <f>IF(ISNUMBER(Datos!N11),Datos!N11," - ")</f>
        <v>152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0.85561497326203206</v>
      </c>
      <c r="BH11" s="263">
        <f>IF(ISNUMBER(((IF(J_V="SI",Datos!L11/Datos!K11,(Datos!L11+Datos!AB11)/(Datos!K11+Datos!AA11)))*11)/factor_trimestre),((IF(J_V="SI",Datos!L11/Datos!K11,(Datos!L11+Datos!AB11)/(Datos!K11+Datos!AA11)))*11)/factor_trimestre," - ")</f>
        <v>3.1968750000000004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0.7</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387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2.5906735751295338E-3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89</v>
      </c>
      <c r="G13" s="901">
        <f t="shared" si="0"/>
        <v>89</v>
      </c>
      <c r="H13" s="902">
        <f t="shared" si="0"/>
        <v>0</v>
      </c>
      <c r="I13" s="901">
        <f t="shared" si="0"/>
        <v>0</v>
      </c>
      <c r="J13" s="870">
        <f t="shared" si="0"/>
        <v>0</v>
      </c>
      <c r="K13" s="870">
        <f t="shared" si="0"/>
        <v>0</v>
      </c>
      <c r="L13" s="902">
        <f t="shared" si="0"/>
        <v>0</v>
      </c>
      <c r="M13" s="902">
        <f t="shared" si="0"/>
        <v>0</v>
      </c>
      <c r="N13" s="902">
        <f t="shared" si="0"/>
        <v>290</v>
      </c>
      <c r="O13" s="903">
        <f t="shared" si="0"/>
        <v>0</v>
      </c>
      <c r="P13" s="903">
        <f t="shared" si="0"/>
        <v>0</v>
      </c>
      <c r="Q13" s="902">
        <f t="shared" si="0"/>
        <v>452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30</v>
      </c>
      <c r="AC13" s="902">
        <f t="shared" si="1"/>
        <v>526</v>
      </c>
      <c r="AD13" s="902">
        <f t="shared" si="1"/>
        <v>0</v>
      </c>
      <c r="AE13" s="902">
        <f t="shared" si="1"/>
        <v>0</v>
      </c>
      <c r="AF13" s="902">
        <f t="shared" si="1"/>
        <v>73</v>
      </c>
      <c r="AG13" s="902">
        <f t="shared" si="1"/>
        <v>0</v>
      </c>
      <c r="AH13" s="902">
        <f t="shared" si="1"/>
        <v>156</v>
      </c>
      <c r="AI13" s="902">
        <f t="shared" si="1"/>
        <v>0</v>
      </c>
      <c r="AJ13" s="902">
        <f t="shared" si="1"/>
        <v>0</v>
      </c>
      <c r="AK13" s="902">
        <f t="shared" si="1"/>
        <v>0</v>
      </c>
      <c r="AL13" s="902">
        <f t="shared" si="1"/>
        <v>0</v>
      </c>
      <c r="AM13" s="902">
        <f t="shared" si="1"/>
        <v>5303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618</v>
      </c>
      <c r="BD13" s="902">
        <f t="shared" si="1"/>
        <v>753</v>
      </c>
      <c r="BE13" s="902">
        <f t="shared" si="1"/>
        <v>0</v>
      </c>
      <c r="BF13" s="902">
        <f t="shared" si="1"/>
        <v>0</v>
      </c>
      <c r="BG13" s="902">
        <f>IF(ISNUMBER(Datos!K13/Datos!J13),Datos!K13/Datos!J13," - ")</f>
        <v>0.92965085982282436</v>
      </c>
      <c r="BH13" s="906">
        <f>IF(ISNUMBER(((Datos!L13/Datos!K13)*11)/factor_trimestre),((Datos!L13/Datos!K13)*11)/factor_trimestre," - ")</f>
        <v>7.3015695067264579</v>
      </c>
      <c r="BI13" s="902">
        <f>IF(ISNUMBER('Resol  Asuntos'!D13/NºAsuntos!G13),'Resol  Asuntos'!D13/NºAsuntos!G13," - ")</f>
        <v>0.29883945841392651</v>
      </c>
      <c r="BJ13" s="902" t="str">
        <f>IF(ISNUMBER(Datos!CI13/Datos!CJ13),Datos!CI13/Datos!CJ13," - ")</f>
        <v xml:space="preserve"> - </v>
      </c>
      <c r="BK13" s="902">
        <f>SUBTOTAL(9,BK8:BK12)</f>
        <v>0</v>
      </c>
      <c r="BL13" s="902">
        <f>IF(ISNUMBER((I13-AB13+L13)/(F13)),(I13-AB13+L13)/(F13)," - ")</f>
        <v>-0.33707865168539325</v>
      </c>
      <c r="BM13" s="907">
        <f>SUBTOTAL(9,BM9:BM12)</f>
        <v>0.68595106318551913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2136</v>
      </c>
      <c r="G15" s="601">
        <f>IF(ISNUMBER(IF(D_I="SI",Datos!I15,Datos!I15+Datos!AC15)),IF(D_I="SI",Datos!I15,Datos!I15+Datos!AC15)," - ")</f>
        <v>2483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1487</v>
      </c>
      <c r="AC15" s="229">
        <f>IF(ISNUMBER(Datos!Q15),Datos!Q15," - ")</f>
        <v>51</v>
      </c>
      <c r="AD15" s="337"/>
      <c r="AE15" s="487"/>
      <c r="AF15" s="599">
        <f>IF(ISNUMBER(IF(D_I="SI",Datos!L15,Datos!L15+Datos!AF15)),IF(D_I="SI",Datos!L15,Datos!L15+Datos!AF15)," - ")</f>
        <v>2174</v>
      </c>
      <c r="AG15" s="337"/>
      <c r="AH15" s="337"/>
      <c r="AI15" s="337"/>
      <c r="AJ15" s="337"/>
      <c r="AK15" s="337"/>
      <c r="AL15" s="482"/>
      <c r="AM15" s="338">
        <f>IF(ISNUMBER(Datos!R15),Datos!R15," - ")</f>
        <v>230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219</v>
      </c>
      <c r="BD15" s="232">
        <f>IF(ISNUMBER(Datos!N15),Datos!N15," - ")</f>
        <v>825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0.9750819672131148</v>
      </c>
      <c r="BH15" s="263">
        <f>IF(ISNUMBER(((IF(D_I="SI",Datos!L15/Datos!K15,(Datos!L15+Datos!AF15)/(Datos!K15+Datos!AE15)))*11)/factor_trimestre),((IF(D_I="SI",Datos!L15/Datos!K15,(Datos!L15+Datos!AF15)/(Datos!K15+Datos!AE15)))*11)/factor_trimestre," - ")</f>
        <v>4.3860121049092129</v>
      </c>
      <c r="BI15" s="246">
        <f>IF(ISNUMBER('Resol  Asuntos'!D15/NºAsuntos!G15),'Resol  Asuntos'!D15/NºAsuntos!G15," - ")</f>
        <v>0.1472763954270343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127</v>
      </c>
      <c r="AC17" s="229">
        <f>IF(ISNUMBER(Datos!Q17),Datos!Q17," - ")</f>
        <v>0</v>
      </c>
      <c r="AD17" s="337"/>
      <c r="AE17" s="487"/>
      <c r="AF17" s="335">
        <f>IF(ISNUMBER(Datos!L17),Datos!L17,"-")</f>
        <v>183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1.0854700854700854</v>
      </c>
      <c r="BH17" s="263">
        <f>IF(ISNUMBER(((IF(D_I="SI",Datos!L17/Datos!K17,(Datos!L17+Datos!AF17)/(Datos!K17+Datos!AE17)))*11)/factor_trimestre),((IF(D_I="SI",Datos!L17/Datos!K17,(Datos!L17+Datos!AF17)/(Datos!K17+Datos!AE17)))*11)/factor_trimestre," - ")</f>
        <v>4.3228346456692917</v>
      </c>
      <c r="BI17" s="246">
        <f>IF(ISNUMBER('Resol  Asuntos'!D17/NºAsuntos!G17),'Resol  Asuntos'!D17/NºAsuntos!G17," - ")</f>
        <v>1.5748031496062992E-2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2136</v>
      </c>
      <c r="G18" s="901">
        <f>SUBTOTAL(9,G15:G17)</f>
        <v>2676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1614</v>
      </c>
      <c r="AC18" s="902">
        <f t="shared" si="4"/>
        <v>51</v>
      </c>
      <c r="AD18" s="902">
        <f t="shared" si="4"/>
        <v>0</v>
      </c>
      <c r="AE18" s="902">
        <f t="shared" si="4"/>
        <v>0</v>
      </c>
      <c r="AF18" s="902">
        <f t="shared" si="4"/>
        <v>2357</v>
      </c>
      <c r="AG18" s="902">
        <f t="shared" si="4"/>
        <v>0</v>
      </c>
      <c r="AH18" s="902">
        <f t="shared" si="4"/>
        <v>0</v>
      </c>
      <c r="AI18" s="902">
        <f t="shared" si="4"/>
        <v>0</v>
      </c>
      <c r="AJ18" s="902">
        <f t="shared" si="4"/>
        <v>0</v>
      </c>
      <c r="AK18" s="902">
        <f t="shared" si="4"/>
        <v>0</v>
      </c>
      <c r="AL18" s="902">
        <f t="shared" si="4"/>
        <v>0</v>
      </c>
      <c r="AM18" s="902">
        <f t="shared" si="4"/>
        <v>230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221</v>
      </c>
      <c r="BD18" s="902">
        <f t="shared" si="4"/>
        <v>904</v>
      </c>
      <c r="BE18" s="902">
        <f t="shared" si="4"/>
        <v>0</v>
      </c>
      <c r="BF18" s="902">
        <f t="shared" si="4"/>
        <v>0</v>
      </c>
      <c r="BG18" s="902">
        <f>IF(ISNUMBER(Datos!K18/Datos!J18),Datos!K18/Datos!J18," - ")</f>
        <v>0.98294762484774667</v>
      </c>
      <c r="BH18" s="906">
        <f>IF(ISNUMBER(((Datos!L18/Datos!K18)*11)/factor_trimestre),((Datos!L18/Datos!K18)*11)/factor_trimestre," - ")</f>
        <v>4.3810408921933091</v>
      </c>
      <c r="BI18" s="902">
        <f>SUBTOTAL(9,BI15:BI17)</f>
        <v>0.16302442692309729</v>
      </c>
      <c r="BJ18" s="902">
        <f>SUBTOTAL(9,BJ15:BJ17)</f>
        <v>0</v>
      </c>
      <c r="BK18" s="902">
        <f>SUBTOTAL(9,BK15:BK17)</f>
        <v>0</v>
      </c>
      <c r="BL18" s="902">
        <f>IF(ISNUMBER((I18-AB18+L18)/(F18)),(I18-AB18+L18)/(F18)," - ")</f>
        <v>-0.7556179775280899</v>
      </c>
      <c r="BM18" s="908">
        <f>IF(ISNUMBER((Datos!P18-Datos!Q18)/(Datos!R18-Datos!P18+Datos!Q18)),(Datos!P18-Datos!Q18)/(Datos!R18-Datos!P18+Datos!Q18)," - ")</f>
        <v>-4.329004329004329E-3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9</v>
      </c>
      <c r="F19" s="823">
        <f t="shared" si="6"/>
        <v>2225</v>
      </c>
      <c r="G19" s="823">
        <f t="shared" si="6"/>
        <v>2765</v>
      </c>
      <c r="H19" s="825">
        <f t="shared" si="6"/>
        <v>0</v>
      </c>
      <c r="I19" s="823">
        <f t="shared" si="6"/>
        <v>0</v>
      </c>
      <c r="J19" s="825">
        <f t="shared" si="6"/>
        <v>0</v>
      </c>
      <c r="K19" s="825">
        <f t="shared" si="6"/>
        <v>0</v>
      </c>
      <c r="L19" s="884">
        <f t="shared" si="6"/>
        <v>0</v>
      </c>
      <c r="M19" s="884">
        <f t="shared" si="6"/>
        <v>0</v>
      </c>
      <c r="N19" s="884">
        <f t="shared" si="6"/>
        <v>290</v>
      </c>
      <c r="O19" s="884">
        <f t="shared" si="6"/>
        <v>0</v>
      </c>
      <c r="P19" s="884">
        <f t="shared" si="6"/>
        <v>0</v>
      </c>
      <c r="Q19" s="825">
        <f t="shared" si="6"/>
        <v>502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1644</v>
      </c>
      <c r="AC19" s="824">
        <f t="shared" si="7"/>
        <v>577</v>
      </c>
      <c r="AD19" s="824">
        <f t="shared" si="7"/>
        <v>0</v>
      </c>
      <c r="AE19" s="824">
        <f t="shared" si="7"/>
        <v>0</v>
      </c>
      <c r="AF19" s="831">
        <f t="shared" si="7"/>
        <v>2430</v>
      </c>
      <c r="AG19" s="831">
        <f t="shared" si="7"/>
        <v>0</v>
      </c>
      <c r="AH19" s="831">
        <f t="shared" si="7"/>
        <v>156</v>
      </c>
      <c r="AI19" s="831">
        <f t="shared" si="7"/>
        <v>0</v>
      </c>
      <c r="AJ19" s="824">
        <f t="shared" si="7"/>
        <v>0</v>
      </c>
      <c r="AK19" s="831">
        <f t="shared" si="7"/>
        <v>0</v>
      </c>
      <c r="AL19" s="831">
        <f t="shared" si="7"/>
        <v>0</v>
      </c>
      <c r="AM19" s="831">
        <f t="shared" si="7"/>
        <v>5533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839</v>
      </c>
      <c r="BD19" s="823">
        <f t="shared" si="7"/>
        <v>1657</v>
      </c>
      <c r="BE19" s="823">
        <f t="shared" si="7"/>
        <v>0</v>
      </c>
      <c r="BF19" s="833">
        <f t="shared" si="7"/>
        <v>0</v>
      </c>
      <c r="BG19" s="918">
        <f>IF(ISNUMBER(Datos!K19/Datos!J19),Datos!K19/Datos!J19," - ")</f>
        <v>0.9542263409154732</v>
      </c>
      <c r="BH19" s="918">
        <f>IF(ISNUMBER(((Datos!L19/Datos!K19)*11)/factor_trimestre),((Datos!L19/Datos!K19)*11)/factor_trimestre," - ")</f>
        <v>5.9143613890523845</v>
      </c>
      <c r="BI19" s="816">
        <f>IF(ISNUMBER(Datos!J19/Datos!I19),Datos!J19/Datos!I19," - ")</f>
        <v>0.51638631090487241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-0.73887640449438208</v>
      </c>
      <c r="BM19" s="892">
        <f>IF(ISNUMBER((Datos!P19-Datos!Q19+R19)/(Datos!R19-Datos!P19+Datos!Q19-R19)),(Datos!P19-Datos!Q19+R19)/(Datos!R19-Datos!P19+Datos!Q19-R19)," - ")</f>
        <v>-1.3373751783166904E-2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2.3452078799117149</v>
      </c>
      <c r="F21" s="554">
        <f>IF(ISNUMBER(STDEV(F8:F18)),STDEV(F8:F18),"-")</f>
        <v>1181.836001031164</v>
      </c>
      <c r="G21" s="555">
        <f>IF(ISNUMBER(STDEV(G8:G18)),STDEV(G8:G18),"-")</f>
        <v>1347.5140073483467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817.29817080426653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248.41080606815109</v>
      </c>
      <c r="BD21" s="554"/>
      <c r="BE21" s="554">
        <f>IF(ISNUMBER(STDEV(BE8:BE18)),STDEV(BE8:BE18),"-")</f>
        <v>0</v>
      </c>
      <c r="BF21" s="559">
        <f>IF(ISNUMBER(STDEV(BF8:BF18)),STDEV(BF8:BF18),"-")</f>
        <v>0</v>
      </c>
      <c r="BG21" s="778">
        <f>IF(ISNUMBER(STDEV(BG8:BG18)),STDEV(BG8:BG18),"-")</f>
        <v>0.45161105466254953</v>
      </c>
      <c r="BH21" s="779">
        <f>IF(ISNUMBER(STDEV(BH8:BH18)),STDEV(BH8:BH18),"-")</f>
        <v>1.7457543106690483</v>
      </c>
      <c r="BI21" s="252">
        <f>IF(ISNUMBER(STDEV(BI8:BI18)),STDEV(BI8:BI18),"-")</f>
        <v>0.11575688910368535</v>
      </c>
      <c r="BJ21" s="233" t="str">
        <f>IF(ISNUMBER(BL21/BM21),BL21/BM21," - ")</f>
        <v xml:space="preserve"> - </v>
      </c>
      <c r="BK21" s="578"/>
      <c r="BL21" s="562">
        <f>IF(ISNUMBER(STDEV(BL8:BL18)),STDEV(BL8:BL18),"-")</f>
        <v>0.29595199549661672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DJni8o8gcPzeGzRkU1DqIUo/acZVxPMc+2MkPV/Qa8fHPhMCfMQjUpHsE2CH/njKNnre4Ot3w8RZqDODpPKNQ==" saltValue="VZYFXkeiVAm4SROntqGY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LUGO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441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523</v>
      </c>
      <c r="AA9" s="335" t="str">
        <f>IF(ISNUMBER(IF(J_V="SI",Datos!L9,Datos!L9+Datos!AB9)-IF(Monitorios="SI",Datos!CD9,0)),
                          IF(J_V="SI",Datos!L9,Datos!L9+Datos!AB9)-IF(Monitorios="SI",Datos!CD9,0),
                          " - ")</f>
        <v xml:space="preserve"> - </v>
      </c>
      <c r="AB9" s="337"/>
      <c r="AC9" s="337"/>
      <c r="AD9" s="487"/>
      <c r="AE9" s="487">
        <f>IF(ISNUMBER(Datos!R9),Datos!R9," - ")</f>
        <v>4846</v>
      </c>
      <c r="AF9" s="232" t="str">
        <f>IF(ISNUMBER(Datos!BV9),Datos!BV9," - ")</f>
        <v xml:space="preserve"> - </v>
      </c>
      <c r="AG9" s="228" t="str">
        <f>IF(ISNUMBER(Datos!DV9),Datos!DV9," - ")</f>
        <v xml:space="preserve"> - </v>
      </c>
      <c r="AH9" s="301"/>
      <c r="AI9" s="230"/>
      <c r="AJ9" s="228">
        <f>IF(ISNUMBER(Datos!M9),Datos!M9," - ")</f>
        <v>549</v>
      </c>
      <c r="AK9" s="232">
        <f>IF(ISNUMBER(Datos!N9),Datos!N9," - ")</f>
        <v>596</v>
      </c>
      <c r="AL9" s="232" t="str">
        <f>IF(ISNUMBER(Datos!BW9),Datos!BW9," - ")</f>
        <v xml:space="preserve"> - </v>
      </c>
      <c r="AM9" s="231" t="str">
        <f>IF(ISNUMBER(Datos!BX9),Datos!BX9," - ")</f>
        <v xml:space="preserve"> - </v>
      </c>
      <c r="AN9" s="246"/>
      <c r="AO9" s="263">
        <f>IF(ISNUMBER(((NºAsuntos!I9/NºAsuntos!G9)*11)/factor_trimestre),((NºAsuntos!I9/NºAsuntos!G9)*11)/factor_trimestre," - ")</f>
        <v>7.1280558789289872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-1.6639610389610388E-2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0</v>
      </c>
      <c r="F10" s="228">
        <f>IF(ISNUMBER(Datos!L10+Datos!K10-Datos!J10),Datos!L10+Datos!K10-Datos!J10," - ")</f>
        <v>89</v>
      </c>
      <c r="G10" s="228">
        <f>IF(ISNUMBER(Datos!I10),Datos!I10," - ")</f>
        <v>89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30</v>
      </c>
      <c r="Z10" s="622">
        <f>IF(ISNUMBER(Datos!Q10),Datos!Q10," - ")</f>
        <v>0</v>
      </c>
      <c r="AA10" s="335">
        <f>IF(ISNUMBER(Datos!L10),Datos!L10,"-")</f>
        <v>73</v>
      </c>
      <c r="AB10" s="337"/>
      <c r="AC10" s="337"/>
      <c r="AD10" s="487"/>
      <c r="AE10" s="487">
        <f>IF(ISNUMBER(Datos!R10),Datos!R10," - ")</f>
        <v>53</v>
      </c>
      <c r="AF10" s="232" t="str">
        <f>IF(ISNUMBER(Datos!BV10),Datos!BV10," - ")</f>
        <v xml:space="preserve"> - </v>
      </c>
      <c r="AG10" s="228" t="str">
        <f>IF(ISNUMBER(Datos!DV10),Datos!DV10," - ")</f>
        <v xml:space="preserve"> - </v>
      </c>
      <c r="AH10" s="301"/>
      <c r="AI10" s="230"/>
      <c r="AJ10" s="228">
        <f>IF(ISNUMBER(Datos!M10),Datos!M10," - ")</f>
        <v>8</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v>
      </c>
      <c r="AA11" s="335" t="str">
        <f>IF(ISNUMBER(IF(J_V="SI",Datos!L11,Datos!L11+Datos!AB11)-IF(Monitorios="SI",Datos!CD11,0)),
                          IF(J_V="SI",Datos!L11,Datos!L11+Datos!AB11)-IF(Monitorios="SI",Datos!CD11,0),
                          " - ")</f>
        <v xml:space="preserve"> - </v>
      </c>
      <c r="AB11" s="337"/>
      <c r="AC11" s="337"/>
      <c r="AD11" s="487"/>
      <c r="AE11" s="487">
        <f>IF(ISNUMBER(Datos!R11),Datos!R11," - ")</f>
        <v>17</v>
      </c>
      <c r="AF11" s="232" t="str">
        <f>IF(ISNUMBER(Datos!BV11),Datos!BV11," - ")</f>
        <v xml:space="preserve"> - </v>
      </c>
      <c r="AG11" s="228" t="str">
        <f>IF(ISNUMBER(Datos!DV11),Datos!DV11," - ")</f>
        <v xml:space="preserve"> - </v>
      </c>
      <c r="AH11" s="301"/>
      <c r="AI11" s="230"/>
      <c r="AJ11" s="228">
        <f>IF(ISNUMBER(Datos!M11),Datos!M11," - ")</f>
        <v>61</v>
      </c>
      <c r="AK11" s="232">
        <f>IF(ISNUMBER(Datos!N11),Datos!N11," - ")</f>
        <v>152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3.1968750000000004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0.7</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v>
      </c>
      <c r="AA12" s="335" t="str">
        <f>IF(ISNUMBER(IF(J_V="SI",Datos!L12,Datos!L12+Datos!AB12)-IF(Monitorios="SI",Datos!CD12,0)),
                          IF(J_V="SI",Datos!L12,Datos!L12+Datos!AB12)-IF(Monitorios="SI",Datos!CD12,0),
                          " - ")</f>
        <v xml:space="preserve"> - </v>
      </c>
      <c r="AB12" s="337"/>
      <c r="AC12" s="337"/>
      <c r="AD12" s="487"/>
      <c r="AE12" s="487">
        <f>IF(ISNUMBER(Datos!R12),Datos!R12," - ")</f>
        <v>387</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2.5906735751295338E-3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89</v>
      </c>
      <c r="G13" s="901">
        <f>SUBTOTAL(9,G8:G12)</f>
        <v>89</v>
      </c>
      <c r="H13" s="911"/>
      <c r="I13" s="901">
        <f t="shared" ref="I13:N13" si="0">SUBTOTAL(9,I8:I12)</f>
        <v>0</v>
      </c>
      <c r="J13" s="870">
        <f t="shared" si="0"/>
        <v>0</v>
      </c>
      <c r="K13" s="911">
        <f t="shared" si="0"/>
        <v>0</v>
      </c>
      <c r="L13" s="911">
        <f t="shared" si="0"/>
        <v>0</v>
      </c>
      <c r="M13" s="911">
        <f t="shared" si="0"/>
        <v>0</v>
      </c>
      <c r="N13" s="911">
        <f t="shared" si="0"/>
        <v>452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30</v>
      </c>
      <c r="Z13" s="910">
        <f t="shared" si="2"/>
        <v>526</v>
      </c>
      <c r="AA13" s="903">
        <f t="shared" si="2"/>
        <v>73</v>
      </c>
      <c r="AB13" s="903">
        <f t="shared" si="2"/>
        <v>0</v>
      </c>
      <c r="AC13" s="903">
        <f t="shared" si="2"/>
        <v>0</v>
      </c>
      <c r="AD13" s="903">
        <f t="shared" si="2"/>
        <v>0</v>
      </c>
      <c r="AE13" s="903">
        <f t="shared" si="2"/>
        <v>5303</v>
      </c>
      <c r="AF13" s="911">
        <f t="shared" si="2"/>
        <v>0</v>
      </c>
      <c r="AG13" s="911">
        <f t="shared" si="2"/>
        <v>0</v>
      </c>
      <c r="AH13" s="911">
        <f t="shared" si="2"/>
        <v>0</v>
      </c>
      <c r="AI13" s="911">
        <f t="shared" si="2"/>
        <v>0</v>
      </c>
      <c r="AJ13" s="911">
        <f t="shared" si="2"/>
        <v>618</v>
      </c>
      <c r="AK13" s="911">
        <f t="shared" si="2"/>
        <v>753</v>
      </c>
      <c r="AL13" s="911">
        <f t="shared" si="2"/>
        <v>0</v>
      </c>
      <c r="AM13" s="911">
        <f t="shared" si="2"/>
        <v>0</v>
      </c>
      <c r="AN13" s="911">
        <f t="shared" si="2"/>
        <v>0</v>
      </c>
      <c r="AO13" s="907">
        <f>IF(ISNUMBER(((NºAsuntos!I13/NºAsuntos!G13)*11)/factor_trimestre),((NºAsuntos!I13/NºAsuntos!G13)*11)/factor_trimestre," - ")</f>
        <v>6.5251450676982587</v>
      </c>
      <c r="AP13" s="913" t="str">
        <f>IF(ISNUMBER(Datos!CI13/Datos!CJ13),Datos!CI13/Datos!CJ13," - ")</f>
        <v xml:space="preserve"> - </v>
      </c>
      <c r="AQ13" s="931">
        <f t="shared" ref="AQ13:AV13" si="3">SUBTOTAL(9,AQ9:AQ12)</f>
        <v>0</v>
      </c>
      <c r="AR13" s="931">
        <f t="shared" si="3"/>
        <v>0.68595106318551913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2136</v>
      </c>
      <c r="G15" s="228">
        <f>IF(ISNUMBER(IF(D_I="SI",Datos!I15,Datos!I15+Datos!AC15)),IF(D_I="SI",Datos!I15,Datos!I15+Datos!AC15)," - ")</f>
        <v>2483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1487</v>
      </c>
      <c r="Z15" s="622">
        <f>IF(ISNUMBER(Datos!Q15),Datos!Q15," - ")</f>
        <v>51</v>
      </c>
      <c r="AA15" s="335">
        <f>IF(ISNUMBER(IF(D_I="SI",Datos!L15,Datos!L15+Datos!AF15)),IF(D_I="SI",Datos!L15,Datos!L15+Datos!AF15)," - ")</f>
        <v>2174</v>
      </c>
      <c r="AB15" s="337"/>
      <c r="AC15" s="337"/>
      <c r="AD15" s="487"/>
      <c r="AE15" s="487">
        <f>IF(ISNUMBER(Datos!R15),Datos!R15," - ")</f>
        <v>230</v>
      </c>
      <c r="AF15" s="232" t="str">
        <f>IF(ISNUMBER(Datos!BV15),Datos!BV15," - ")</f>
        <v xml:space="preserve"> - </v>
      </c>
      <c r="AG15" s="228"/>
      <c r="AH15" s="301"/>
      <c r="AI15" s="230"/>
      <c r="AJ15" s="228">
        <f>IF(ISNUMBER(Datos!M15),Datos!M15," - ")</f>
        <v>219</v>
      </c>
      <c r="AK15" s="232">
        <f>IF(ISNUMBER(Datos!N15),Datos!N15," - ")</f>
        <v>825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4.3860121049092129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127</v>
      </c>
      <c r="Z17" s="622">
        <f>IF(ISNUMBER(Datos!Q17),Datos!Q17," - ")</f>
        <v>0</v>
      </c>
      <c r="AA17" s="335">
        <f>IF(ISNUMBER(Datos!L17),Datos!L17,"-")</f>
        <v>183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4.3228346456692917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2136</v>
      </c>
      <c r="G18" s="901">
        <f>SUBTOTAL(9,G15:G17)</f>
        <v>2676</v>
      </c>
      <c r="H18" s="935">
        <f>SUBTOTAL(9,H15:H17)</f>
        <v>0</v>
      </c>
      <c r="I18" s="914">
        <f>SUBTOTAL(9,I15:I17)</f>
        <v>0</v>
      </c>
      <c r="J18" s="870">
        <f>SUBTOTAL(9,J14:J17)</f>
        <v>0</v>
      </c>
      <c r="K18" s="935">
        <f t="shared" ref="K18:S18" si="4">SUBTOTAL(9,K15:K17)</f>
        <v>0</v>
      </c>
      <c r="L18" s="935">
        <f t="shared" si="4"/>
        <v>0</v>
      </c>
      <c r="M18" s="935">
        <f t="shared" si="4"/>
        <v>0</v>
      </c>
      <c r="N18" s="935">
        <f t="shared" si="4"/>
        <v>50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1614</v>
      </c>
      <c r="Z18" s="935">
        <f t="shared" si="5"/>
        <v>51</v>
      </c>
      <c r="AA18" s="935">
        <f t="shared" si="5"/>
        <v>2357</v>
      </c>
      <c r="AB18" s="935">
        <f t="shared" si="5"/>
        <v>0</v>
      </c>
      <c r="AC18" s="935">
        <f t="shared" si="5"/>
        <v>0</v>
      </c>
      <c r="AD18" s="935">
        <f t="shared" si="5"/>
        <v>0</v>
      </c>
      <c r="AE18" s="935">
        <f t="shared" si="5"/>
        <v>230</v>
      </c>
      <c r="AF18" s="935">
        <f t="shared" si="5"/>
        <v>0</v>
      </c>
      <c r="AG18" s="935">
        <f t="shared" si="5"/>
        <v>0</v>
      </c>
      <c r="AH18" s="935">
        <f t="shared" si="5"/>
        <v>0</v>
      </c>
      <c r="AI18" s="935">
        <f t="shared" si="5"/>
        <v>0</v>
      </c>
      <c r="AJ18" s="935">
        <f t="shared" si="5"/>
        <v>221</v>
      </c>
      <c r="AK18" s="935">
        <f t="shared" si="5"/>
        <v>904</v>
      </c>
      <c r="AL18" s="935">
        <f t="shared" si="5"/>
        <v>0</v>
      </c>
      <c r="AM18" s="935">
        <f t="shared" si="5"/>
        <v>0</v>
      </c>
      <c r="AN18" s="935">
        <f t="shared" si="5"/>
        <v>0</v>
      </c>
      <c r="AO18" s="937">
        <f>IF(ISNUMBER(((NºAsuntos!I18/NºAsuntos!G18)*11)/factor_trimestre),((NºAsuntos!I18/NºAsuntos!G18)*11)/factor_trimestre," - ")</f>
        <v>4.3810408921933091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2225</v>
      </c>
      <c r="G19" s="823">
        <f t="shared" si="7"/>
        <v>2765</v>
      </c>
      <c r="H19" s="824">
        <f t="shared" si="7"/>
        <v>0</v>
      </c>
      <c r="I19" s="823">
        <f t="shared" si="7"/>
        <v>0</v>
      </c>
      <c r="J19" s="825">
        <f t="shared" si="7"/>
        <v>0</v>
      </c>
      <c r="K19" s="823">
        <f t="shared" si="7"/>
        <v>0</v>
      </c>
      <c r="L19" s="826">
        <f t="shared" si="7"/>
        <v>0</v>
      </c>
      <c r="M19" s="823">
        <f t="shared" si="7"/>
        <v>0</v>
      </c>
      <c r="N19" s="824">
        <f t="shared" si="7"/>
        <v>502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1644</v>
      </c>
      <c r="Z19" s="830">
        <f t="shared" si="8"/>
        <v>577</v>
      </c>
      <c r="AA19" s="831">
        <f t="shared" si="8"/>
        <v>2430</v>
      </c>
      <c r="AB19" s="831">
        <f t="shared" si="8"/>
        <v>0</v>
      </c>
      <c r="AC19" s="831">
        <f t="shared" si="8"/>
        <v>0</v>
      </c>
      <c r="AD19" s="832">
        <f t="shared" si="8"/>
        <v>0</v>
      </c>
      <c r="AE19" s="832">
        <f t="shared" si="8"/>
        <v>5533</v>
      </c>
      <c r="AF19" s="833">
        <f t="shared" si="8"/>
        <v>0</v>
      </c>
      <c r="AG19" s="834">
        <f t="shared" si="8"/>
        <v>0</v>
      </c>
      <c r="AH19" s="835">
        <f t="shared" si="8"/>
        <v>0</v>
      </c>
      <c r="AI19" s="833">
        <f t="shared" si="8"/>
        <v>0</v>
      </c>
      <c r="AJ19" s="823">
        <f t="shared" si="8"/>
        <v>839</v>
      </c>
      <c r="AK19" s="823">
        <f t="shared" si="8"/>
        <v>1657</v>
      </c>
      <c r="AL19" s="823">
        <f t="shared" si="8"/>
        <v>0</v>
      </c>
      <c r="AM19" s="836">
        <f t="shared" si="8"/>
        <v>0</v>
      </c>
      <c r="AN19" s="826">
        <f>IF(ISNUMBER(Datos!K19/Datos!J19),Datos!K19/Datos!J19," - ")</f>
        <v>0.9542263409154732</v>
      </c>
      <c r="AO19" s="826">
        <f>IF(ISNUMBER(FIND("06",Criterios!A8,1)),(IF(ISNUMBER(((Datos!R19/Datos!Q19)*11)/factor_trimestre),((Datos!R19/Datos!Q19)*11)/factor_trimestre," - ")),(IF(ISNUMBER(((Datos!L19/Datos!K19)*11)/factor_trimestre),((Datos!L19/Datos!K19)*11)/factor_trimestre," - ")))</f>
        <v>5.9143613890523845</v>
      </c>
      <c r="AP19" s="837" t="str">
        <f>IF(ISNUMBER(Datos!CI19/Datos!CJ19),Datos!CI19/Datos!CJ19," - ")</f>
        <v xml:space="preserve"> - </v>
      </c>
      <c r="AQ19" s="837">
        <f>IF(OR(ISNUMBER(FIND("01",Criterios!A8,1)),ISNUMBER(FIND("02",Criterios!A8,1)),ISNUMBER(FIND("03",Criterios!A8,1)),ISNUMBER(FIND("04",Criterios!A8,1))),(J19-Y19+K19)/(F19-K19),(I19-Y19+K19)/(F19-K19))</f>
        <v>-0.73887640449438208</v>
      </c>
      <c r="AR19" s="837">
        <f>IF(ISNUMBER((Datos!P19-Datos!Q19+O19)/(Datos!R19-Datos!P19+Datos!Q19-O19)),(Datos!P19-Datos!Q19+O19)/(Datos!R19-Datos!P19+Datos!Q19-O19)," - ")</f>
        <v>-1.3373751783166904E-2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1181.836001031164</v>
      </c>
      <c r="G21" s="555">
        <f>IF(ISNUMBER(STDEV(G8:G18)),STDEV(G8:G18),"-")</f>
        <v>1347.5140073483467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248.41080606815109</v>
      </c>
      <c r="AK21" s="255"/>
      <c r="AL21" s="255">
        <f>IF(ISNUMBER(STDEV(AL8:AL18)),STDEV(AL8:AL18),"-")</f>
        <v>0</v>
      </c>
      <c r="AM21" s="257">
        <f>IF(ISNUMBER(STDEV(AM8:AM18)),STDEV(AM8:AM18),"-")</f>
        <v>0</v>
      </c>
      <c r="AN21" s="542">
        <f>IF(ISNUMBER(STDEV(AN8:AN18)),STDEV(AN8:AN18),"-")</f>
        <v>0</v>
      </c>
      <c r="AO21" s="543">
        <f>IF(ISNUMBER(STDEV(AO8:AO18)),STDEV(AO8:AO18),"-")</f>
        <v>1.6277702949714905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6WW8O6FKb0s4zYjedP51ZZTgbQyARFmmhPyIXW1gTs0QOnSRdckBZP2Ew1aJFRIpaEtpLvGSxC8Be/tHnYPsQ==" saltValue="8KSQP7QQHsPvYvH7BMY+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oYC224aocZen9zMdl/ga7tlQK98YtG6E99inOGYmo6nzRGTJzxL+uAIlJascau9Iad6ARByOB1Ub1+pO+20dw==" saltValue="lfA2zGwctmDfBSdjDZ8I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1WWKepCqiZZ/Nj5mAGN3X+wcuyC2eFTaZFJKvWA9xwmKVYDCGGwDyr6CGP3uTBX9fMkTw/VX34ogZ3Ti+yEKQ==" saltValue="9EHn+K6G0499u1I8vz4f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LUGO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0.29883945841392651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0.21131140753060271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DG1sk/qN1UaUJaj7LoNKjga2PcCOh9e9XtkA/LDYwfvtBHlElES1dsfSPZ49Yz+EyusU9+Us87kfzP/PBcqKQ==" saltValue="9N4RlbAkqpEPDHD0CRcL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GWg7vMec/tEgAKkwWDTJCI2BnTFRhLoIP809TMTMe1jrCOSPjkf+ocZyJ94mRpKple2+W15r4ap1W3BS/uMSMg==" saltValue="e1QFzBzjlQJZGbAB+bbR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LUGO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3983</v>
      </c>
      <c r="D9" s="407">
        <f>IF(ISNUMBER(C9/Datos!BH9),C9/Datos!BH9," - ")</f>
        <v>796.6</v>
      </c>
      <c r="E9" s="406">
        <f>IF(ISNUMBER(IF(J_V="SI",Datos!J9,Datos!J9+Datos!Z9)),IF(J_V="SI",Datos!J9,Datos!J9+Datos!Z9)," - ")</f>
        <v>1821</v>
      </c>
      <c r="F9" s="407">
        <f>IF(ISNUMBER(E9/B9),E9/B9," - ")</f>
        <v>364.2</v>
      </c>
      <c r="G9" s="406">
        <f>IF(ISNUMBER(IF(J_V="SI",Datos!K9,Datos!K9+Datos!AA9)),IF(J_V="SI",Datos!K9,Datos!K9+Datos!AA9)," - ")</f>
        <v>1718</v>
      </c>
      <c r="H9" s="407">
        <f>IF(ISNUMBER(G9/B9),G9/B9," - ")</f>
        <v>343.6</v>
      </c>
      <c r="I9" s="406">
        <f>IF(ISNUMBER(IF(J_V="SI",Datos!L9,Datos!L9+Datos!AB9)),IF(J_V="SI",Datos!L9,Datos!L9+Datos!AB9)," - ")</f>
        <v>4082</v>
      </c>
      <c r="J9" s="407">
        <f>IF(ISNUMBER(I9/B9),I9/B9," - ")</f>
        <v>816.4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89</v>
      </c>
      <c r="D10" s="407">
        <f>IF(ISNUMBER(C10/Datos!BH10),C10/Datos!BH10," - ")</f>
        <v>89</v>
      </c>
      <c r="E10" s="406">
        <f>IF(ISNUMBER(Datos!J10),Datos!J10," - ")</f>
        <v>14</v>
      </c>
      <c r="F10" s="407">
        <f>IF(ISNUMBER(E10/B10),E10/B10," - ")</f>
        <v>14</v>
      </c>
      <c r="G10" s="406">
        <f>IF(ISNUMBER(Datos!K10),Datos!K10," - ")</f>
        <v>30</v>
      </c>
      <c r="H10" s="407">
        <f>IF(ISNUMBER(G10/B10),G10/B10," - ")</f>
        <v>30</v>
      </c>
      <c r="I10" s="406">
        <f>IF(ISNUMBER(Datos!L10),Datos!L10," - ")</f>
        <v>73</v>
      </c>
      <c r="J10" s="407">
        <f>IF(ISNUMBER(I10/B10),I10/B10," - ")</f>
        <v>73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298</v>
      </c>
      <c r="D11" s="407" t="str">
        <f>IF(ISNUMBER(C11/Datos!BH11),C11/Datos!BH11," - ")</f>
        <v xml:space="preserve"> - </v>
      </c>
      <c r="E11" s="406">
        <f>IF(ISNUMBER(IF(J_V="SI",Datos!J11,Datos!J11+Datos!Z11)),IF(J_V="SI",Datos!J11,Datos!J11+Datos!Z11)," - ")</f>
        <v>374</v>
      </c>
      <c r="F11" s="407">
        <f>IF(ISNUMBER(E11/B11),E11/B11," - ")</f>
        <v>374</v>
      </c>
      <c r="G11" s="406">
        <f>IF(ISNUMBER(IF(J_V="SI",Datos!K11,Datos!K11+Datos!AA11)),IF(J_V="SI",Datos!K11,Datos!K11+Datos!AA11)," - ")</f>
        <v>320</v>
      </c>
      <c r="H11" s="407">
        <f>IF(ISNUMBER(G11/B11),G11/B11," - ")</f>
        <v>320</v>
      </c>
      <c r="I11" s="406">
        <f>IF(ISNUMBER(IF(J_V="SI",Datos!L11,Datos!L11+Datos!AB11)),IF(J_V="SI",Datos!L11,Datos!L11+Datos!AB11)," - ")</f>
        <v>341</v>
      </c>
      <c r="J11" s="407">
        <f>IF(ISNUMBER(I11/B11),I11/B11," - ")</f>
        <v>341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2</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2</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4372</v>
      </c>
      <c r="D13" s="853" t="str">
        <f>IF(ISNUMBER(C13/Datos!BI13),C13/Datos!BI13," - ")</f>
        <v xml:space="preserve"> - </v>
      </c>
      <c r="E13" s="852">
        <f>SUBTOTAL(9,E8:E12)</f>
        <v>2209</v>
      </c>
      <c r="F13" s="853">
        <f>IF(ISNUMBER(E13/B13),E13/B13," - ")</f>
        <v>368.16666666666669</v>
      </c>
      <c r="G13" s="852">
        <f>SUBTOTAL(9,G8:G12)</f>
        <v>2068</v>
      </c>
      <c r="H13" s="853">
        <f>IF(ISNUMBER(G13/B13),G13/B13," - ")</f>
        <v>344.66666666666669</v>
      </c>
      <c r="I13" s="852">
        <f>SUBTOTAL(9,I8:I12)</f>
        <v>4498</v>
      </c>
      <c r="J13" s="853">
        <f>IF(ISNUMBER(I13/B13),I13/B13," - ")</f>
        <v>749.66666666666663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2483</v>
      </c>
      <c r="D15" s="407">
        <f>IF(ISNUMBER(C15/Datos!BH15),C15/Datos!BH15," - ")</f>
        <v>827.66666666666663</v>
      </c>
      <c r="E15" s="406">
        <f>IF(ISNUMBER(IF(D_I="SI",Datos!J15,Datos!J15+Datos!AD15)),IF(D_I="SI",Datos!J15,Datos!J15+Datos!AD15)," - ")</f>
        <v>1525</v>
      </c>
      <c r="F15" s="407">
        <f>IF(ISNUMBER(E15/B15),E15/B15," - ")</f>
        <v>508.33333333333331</v>
      </c>
      <c r="G15" s="406">
        <f>IF(ISNUMBER(IF(D_I="SI",Datos!K15,Datos!K15+Datos!AE15)),IF(D_I="SI",Datos!K15,Datos!K15+Datos!AE15)," - ")</f>
        <v>1487</v>
      </c>
      <c r="H15" s="407">
        <f>IF(ISNUMBER(G15/B15),G15/B15," - ")</f>
        <v>495.66666666666669</v>
      </c>
      <c r="I15" s="406">
        <f>IF(ISNUMBER(IF(D_I="SI",Datos!L15,Datos!L15+Datos!AF15)),IF(D_I="SI",Datos!L15,Datos!L15+Datos!AF15)," - ")</f>
        <v>2174</v>
      </c>
      <c r="J15" s="407">
        <f>IF(ISNUMBER(I15/B15),I15/B15," - ")</f>
        <v>724.66666666666663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193</v>
      </c>
      <c r="D17" s="407">
        <f>IF(ISNUMBER(C17/Datos!BH17),C17/Datos!BH17," - ")</f>
        <v>193</v>
      </c>
      <c r="E17" s="406">
        <f>IF(ISNUMBER(IF(D_I="SI",Datos!J17,Datos!J17+Datos!AD17)),IF(D_I="SI",Datos!J17,Datos!J17+Datos!AD17)," - ")</f>
        <v>117</v>
      </c>
      <c r="F17" s="407">
        <f>IF(ISNUMBER(E17/B17),E17/B17," - ")</f>
        <v>117</v>
      </c>
      <c r="G17" s="406">
        <f>IF(ISNUMBER(IF(D_I="SI",Datos!K17,Datos!K17+Datos!AE17)),IF(D_I="SI",Datos!K17,Datos!K17+Datos!AE17)," - ")</f>
        <v>127</v>
      </c>
      <c r="H17" s="407">
        <f>IF(ISNUMBER(G17/B17),G17/B17," - ")</f>
        <v>127</v>
      </c>
      <c r="I17" s="406">
        <f>IF(ISNUMBER(IF(D_I="SI",Datos!L17,Datos!L17+Datos!AF17)),IF(D_I="SI",Datos!L17,Datos!L17+Datos!AF17)," - ")</f>
        <v>183</v>
      </c>
      <c r="J17" s="407">
        <f>IF(ISNUMBER(I17/B17),I17/B17," - ")</f>
        <v>183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2676</v>
      </c>
      <c r="D18" s="853" t="str">
        <f>IF(ISNUMBER(C18/Datos!BI18),C18/Datos!BI18," - ")</f>
        <v xml:space="preserve"> - </v>
      </c>
      <c r="E18" s="852">
        <f>SUBTOTAL(9,E14:E17)</f>
        <v>1642</v>
      </c>
      <c r="F18" s="853">
        <f>IF(ISNUMBER(E18/B18),E18/B18," - ")</f>
        <v>547.33333333333337</v>
      </c>
      <c r="G18" s="852">
        <f>SUBTOTAL(9,G14:G17)</f>
        <v>1614</v>
      </c>
      <c r="H18" s="853">
        <f>IF(ISNUMBER(G18/B18),G18/B18," - ")</f>
        <v>538</v>
      </c>
      <c r="I18" s="852">
        <f>SUBTOTAL(9,I14:I17)</f>
        <v>2357</v>
      </c>
      <c r="J18" s="853">
        <f>IF(ISNUMBER(I18/B18),I18/B18," - ")</f>
        <v>785.66666666666663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7048</v>
      </c>
      <c r="D19" s="798" t="str">
        <f>IF(ISNUMBER(C19/Datos!BI19),C19/Datos!BI19," - ")</f>
        <v xml:space="preserve"> - </v>
      </c>
      <c r="E19" s="797">
        <f>SUBTOTAL(9,E9:E18)</f>
        <v>3851</v>
      </c>
      <c r="F19" s="798">
        <f>IF(ISNUMBER(E19/B19),E19/B19," - ")</f>
        <v>427.88888888888891</v>
      </c>
      <c r="G19" s="797">
        <f>SUBTOTAL(9,G9:G18)</f>
        <v>3682</v>
      </c>
      <c r="H19" s="798">
        <f>IF(ISNUMBER(G19/B19),G19/B19," - ")</f>
        <v>409.11111111111109</v>
      </c>
      <c r="I19" s="797">
        <f>SUBTOTAL(9,I9:I18)</f>
        <v>6855</v>
      </c>
      <c r="J19" s="798">
        <f>IF(ISNUMBER(I19/B19),I19/B19," - ")</f>
        <v>761.66666666666663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xKyyEAeIH1ln6jQ8XVRj2FuZ+yhxaTNGMn4OZTDj+xOWVX8jvJsMs23BWRJh6E1BM7Wgp6Q86skrZrlTizoWA==" saltValue="yN5v5GkdGjGQVGZxIHHo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LUGO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245</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0</v>
      </c>
      <c r="F10" s="686">
        <f>IF(ISNUMBER(Datos!L10+Datos!K10-Datos!J10),Datos!L10+Datos!K10-Datos!J10," - ")</f>
        <v>89</v>
      </c>
      <c r="G10" s="687">
        <f>IF(ISNUMBER(Datos!I10),Datos!I10," - ")</f>
        <v>89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30</v>
      </c>
      <c r="AC10" s="686" t="str">
        <f>IF(ISNUMBER(IF(D_I="SI",DatosP!K17,DatosP!K17+DatosP!AE17)),IF(D_I="SI",DatosP!K17,DatosP!K17+DatosP!AE17)," - ")</f>
        <v xml:space="preserve"> - </v>
      </c>
      <c r="AD10" s="688"/>
      <c r="AE10" s="688"/>
      <c r="AF10" s="691">
        <f>IF(ISNUMBER(Datos!L10),Datos!L10,"-")</f>
        <v>73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7.3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2.5906735751295338E-3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89</v>
      </c>
      <c r="G13" s="941">
        <f t="shared" si="0"/>
        <v>89</v>
      </c>
      <c r="H13" s="941">
        <f t="shared" si="0"/>
        <v>0</v>
      </c>
      <c r="I13" s="943">
        <f t="shared" si="0"/>
        <v>0</v>
      </c>
      <c r="J13" s="942">
        <f t="shared" si="0"/>
        <v>0</v>
      </c>
      <c r="K13" s="942">
        <f t="shared" si="0"/>
        <v>0</v>
      </c>
      <c r="L13" s="944">
        <f t="shared" si="0"/>
        <v>0</v>
      </c>
      <c r="M13" s="944">
        <f t="shared" si="0"/>
        <v>0</v>
      </c>
      <c r="N13" s="942">
        <f t="shared" si="0"/>
        <v>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30</v>
      </c>
      <c r="AC13" s="942">
        <f t="shared" si="1"/>
        <v>0</v>
      </c>
      <c r="AD13" s="942">
        <f t="shared" si="1"/>
        <v>2</v>
      </c>
      <c r="AE13" s="942">
        <f t="shared" si="1"/>
        <v>0</v>
      </c>
      <c r="AF13" s="942">
        <f t="shared" si="1"/>
        <v>73</v>
      </c>
      <c r="AG13" s="942">
        <f t="shared" si="1"/>
        <v>0</v>
      </c>
      <c r="AH13" s="942">
        <f t="shared" si="1"/>
        <v>387</v>
      </c>
      <c r="AI13" s="942">
        <f t="shared" si="1"/>
        <v>0</v>
      </c>
      <c r="AJ13" s="942">
        <f t="shared" si="1"/>
        <v>0</v>
      </c>
      <c r="AK13" s="942">
        <f t="shared" si="1"/>
        <v>0</v>
      </c>
      <c r="AL13" s="942">
        <f t="shared" si="1"/>
        <v>8</v>
      </c>
      <c r="AM13" s="942">
        <f t="shared" si="1"/>
        <v>5</v>
      </c>
      <c r="AN13" s="942">
        <f t="shared" si="1"/>
        <v>0</v>
      </c>
      <c r="AO13" s="942">
        <f t="shared" si="1"/>
        <v>0</v>
      </c>
      <c r="AP13" s="947">
        <f>IF(ISNUMBER(((Datos!L13/Datos!K13)*11)/factor_trimestre),((Datos!L13/Datos!K13)*11)/factor_trimestre," - ")</f>
        <v>7.3015695067264579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-0.33707865168539325</v>
      </c>
      <c r="AU13" s="942" t="str">
        <f>IF(ISNUMBER((DatosP!#REF!-DatosP!#REF!+DatosP!#REF!)/(DatosP!#REF!+DatosP!#REF!-DatosP!#REF!-DatosP!#REF!)),(DatosP!#REF!-DatosP!#REF!+DatosP!#REF!)/(DatosP!#REF!+DatosP!#REF!-DatosP!#REF!-DatosP!#REF!)," - ")</f>
        <v xml:space="preserve"> - </v>
      </c>
      <c r="AV13" s="948">
        <f>SUBTOTAL(9,AV9:AV12)</f>
        <v>2.5906735751295338E-3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4.3810408921933091</v>
      </c>
      <c r="AQ18" s="947">
        <f>IF(ISNUMBER(((Datos!M18/Datos!L18)*11)/factor_trimestre),((Datos!M18/Datos!L18)*11)/factor_trimestre," - ")</f>
        <v>0.28128977513788717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-4.329004329004329E-3</v>
      </c>
      <c r="AW18" s="949">
        <f>IF(ISNUMBER((Datos!Q18-Datos!R18)/(Datos!S18-Datos!Q18+Datos!R18)),(Datos!Q18-Datos!R18)/(Datos!S18-Datos!Q18+Datos!R18)," - ")</f>
        <v>-8.3024118738404457E-2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89</v>
      </c>
      <c r="G19" s="954">
        <f t="shared" si="4"/>
        <v>89</v>
      </c>
      <c r="H19" s="954">
        <f t="shared" si="4"/>
        <v>0</v>
      </c>
      <c r="I19" s="955">
        <f t="shared" si="4"/>
        <v>0</v>
      </c>
      <c r="J19" s="956">
        <f t="shared" si="4"/>
        <v>0</v>
      </c>
      <c r="K19" s="956">
        <f t="shared" si="4"/>
        <v>0</v>
      </c>
      <c r="L19" s="956">
        <f t="shared" si="4"/>
        <v>0</v>
      </c>
      <c r="M19" s="956">
        <f t="shared" si="4"/>
        <v>0</v>
      </c>
      <c r="N19" s="955">
        <f t="shared" si="4"/>
        <v>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30</v>
      </c>
      <c r="AC19" s="960">
        <f t="shared" si="5"/>
        <v>0</v>
      </c>
      <c r="AD19" s="960">
        <f t="shared" si="5"/>
        <v>2</v>
      </c>
      <c r="AE19" s="960">
        <f t="shared" si="5"/>
        <v>0</v>
      </c>
      <c r="AF19" s="961">
        <f t="shared" si="5"/>
        <v>73</v>
      </c>
      <c r="AG19" s="961">
        <f t="shared" si="5"/>
        <v>0</v>
      </c>
      <c r="AH19" s="961">
        <f t="shared" si="5"/>
        <v>387</v>
      </c>
      <c r="AI19" s="961">
        <f t="shared" si="5"/>
        <v>0</v>
      </c>
      <c r="AJ19" s="962">
        <f t="shared" si="5"/>
        <v>0</v>
      </c>
      <c r="AK19" s="962">
        <f t="shared" si="5"/>
        <v>0</v>
      </c>
      <c r="AL19" s="954">
        <f t="shared" si="5"/>
        <v>8</v>
      </c>
      <c r="AM19" s="954">
        <f t="shared" si="5"/>
        <v>5</v>
      </c>
      <c r="AN19" s="954">
        <f t="shared" si="5"/>
        <v>0</v>
      </c>
      <c r="AO19" s="954">
        <f t="shared" si="5"/>
        <v>0</v>
      </c>
      <c r="AP19" s="954">
        <f>IF(ISNUMBER(((Datos!L19/Datos!K19)*11)/factor_trimestre),((Datos!L19/Datos!K19)*11)/factor_trimestre," - ")</f>
        <v>5.9143613890523845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-0.33707865168539325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-1.3373751783166904E-2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2.7568097504180442</v>
      </c>
      <c r="F21" s="739">
        <f>IF(ISNUMBER(STDEV(F8:F18)),STDEV(F8:F18),"-")</f>
        <v>51.384173957876691</v>
      </c>
      <c r="G21" s="740">
        <f>IF(ISNUMBER(STDEV(G8:G18)),STDEV(G8:G18),"-")</f>
        <v>51.384173957876691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17.320508075688775</v>
      </c>
      <c r="AC21" s="741">
        <f>IF(ISNUMBER(STDEV(AC8:AC18)),STDEV(AC8:AC18),"-")</f>
        <v>0</v>
      </c>
      <c r="AD21" s="744"/>
      <c r="AE21" s="744"/>
      <c r="AF21" s="744"/>
      <c r="AG21" s="744"/>
      <c r="AH21" s="744"/>
      <c r="AI21" s="744"/>
      <c r="AJ21" s="745">
        <f>IF(ISNUMBER(STDEV(AJ8:AJ18)),STDEV(AJ8:AJ18),"-")</f>
        <v>0</v>
      </c>
      <c r="AK21" s="747"/>
      <c r="AL21" s="739">
        <f>IF(ISNUMBER(STDEV(AL8:AL18)),STDEV(AL8:AL18),"-")</f>
        <v>4.6188021535170058</v>
      </c>
      <c r="AM21" s="739"/>
      <c r="AN21" s="739">
        <f>IF(ISNUMBER(STDEV(AN8:AN18)),STDEV(AN8:AN18),"-")</f>
        <v>0</v>
      </c>
      <c r="AO21" s="745">
        <f>IF(ISNUMBER(STDEV(AO8:AO18)),STDEV(AO8:AO18),"-")</f>
        <v>0</v>
      </c>
      <c r="AP21" s="782">
        <f>IF(ISNUMBER(STDEV(AP8:AP18)),STDEV(AP8:AP18),"-")</f>
        <v>1.6857150868748993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ZBgNHJdwWRiNqzEUoCawXzTdb/PSVF30sErjJQ4QJgnHbQ1efY2IKqjV13yqnZ03QUSVanVE5PzgTMyIQ9LbA==" saltValue="OEF8dFB16N1P0BXcAJ3N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217</v>
      </c>
      <c r="B3" s="394" t="str">
        <f>Criterios!A10 &amp;"  "&amp;Criterios!B10</f>
        <v>Provincias  LUGO</v>
      </c>
      <c r="C3" s="418"/>
      <c r="F3" s="378"/>
      <c r="G3" s="378"/>
      <c r="H3" s="378"/>
    </row>
    <row r="4" spans="1:15" ht="13.5" thickBot="1">
      <c r="A4" s="378"/>
      <c r="B4" s="394" t="str">
        <f>Criterios!A11 &amp;"  "&amp;Criterios!B11</f>
        <v>Resumenes por Partidos Judiciales  LUGO</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jXXCKwRaOxvq+ilOMdHj3wj62ePIK1FDx2FGUWRqBnprbw/foT36UrNB+nK2ApKwmojt5YL6dFi8A3PBwC6yhA==" saltValue="sqPAyuSyJkAgZNoQydow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LUGO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549</v>
      </c>
      <c r="E9" s="407">
        <f t="shared" ref="E9:E13" si="0">IF(ISNUMBER(D9/B9),D9/B9," - ")</f>
        <v>109.8</v>
      </c>
      <c r="F9" s="406">
        <f>IF(ISNUMBER(Datos!N9),Datos!N9," - ")</f>
        <v>596</v>
      </c>
      <c r="G9" s="407">
        <f t="shared" ref="G9:G13" si="1">IF(ISNUMBER(F9/B9),F9/B9," - ")</f>
        <v>119.2</v>
      </c>
      <c r="H9" s="406">
        <f>IF(ISNUMBER(Datos!O9),Datos!O9," - ")</f>
        <v>853</v>
      </c>
      <c r="I9" s="407">
        <f>IF(ISNUMBER(H9/B9),H9/B9," - ")</f>
        <v>170.6</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5</v>
      </c>
      <c r="G10" s="407">
        <f>IF(ISNUMBER(F10/B10),F10/B10," - ")</f>
        <v>5</v>
      </c>
      <c r="H10" s="406">
        <f>IF(ISNUMBER(Datos!O10),Datos!O10," - ")</f>
        <v>1</v>
      </c>
      <c r="I10" s="407">
        <f t="shared" ref="I10:I12" si="2">IF(ISNUMBER(H10/B10),H10/B10," - ")</f>
        <v>1</v>
      </c>
    </row>
    <row r="11" spans="1:9">
      <c r="A11" s="405" t="str">
        <f>Datos!A11</f>
        <v xml:space="preserve">Jdos. Familia                                   </v>
      </c>
      <c r="B11" s="430">
        <f>Datos!AO11</f>
        <v>1</v>
      </c>
      <c r="C11" s="413">
        <f>Datos!AQ11</f>
        <v>1</v>
      </c>
      <c r="D11" s="406">
        <f>IF(ISNUMBER(Datos!M11),Datos!M11," - ")</f>
        <v>61</v>
      </c>
      <c r="E11" s="407">
        <f t="shared" si="0"/>
        <v>61</v>
      </c>
      <c r="F11" s="406">
        <f>IF(ISNUMBER(Datos!N11),Datos!N11," - ")</f>
        <v>152</v>
      </c>
      <c r="G11" s="407">
        <f t="shared" si="1"/>
        <v>152</v>
      </c>
      <c r="H11" s="406">
        <f>IF(ISNUMBER(Datos!O11),Datos!O11," - ")</f>
        <v>25</v>
      </c>
      <c r="I11" s="407">
        <f t="shared" si="2"/>
        <v>25</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3</v>
      </c>
      <c r="I12" s="407" t="str">
        <f t="shared" si="2"/>
        <v xml:space="preserve"> - </v>
      </c>
    </row>
    <row r="13" spans="1:9" ht="14.25" thickTop="1" thickBot="1">
      <c r="A13" s="851" t="str">
        <f>Datos!A13</f>
        <v>TOTAL</v>
      </c>
      <c r="B13" s="852">
        <f>Datos!AO13</f>
        <v>7</v>
      </c>
      <c r="C13" s="854">
        <f>Datos!AR13</f>
        <v>6</v>
      </c>
      <c r="D13" s="852">
        <f>SUBTOTAL(9,D9:D12)</f>
        <v>618</v>
      </c>
      <c r="E13" s="853">
        <f t="shared" si="0"/>
        <v>88.285714285714292</v>
      </c>
      <c r="F13" s="852">
        <f>SUBTOTAL(9,F9:F12)</f>
        <v>753</v>
      </c>
      <c r="G13" s="853">
        <f t="shared" si="1"/>
        <v>107.57142857142857</v>
      </c>
      <c r="H13" s="852">
        <f>SUBTOTAL(9,H9:H12)</f>
        <v>882</v>
      </c>
      <c r="I13" s="853">
        <f>IF(ISNUMBER(H13/B13),H13/B13," - ")</f>
        <v>126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219</v>
      </c>
      <c r="E15" s="407">
        <f t="shared" ref="E15:E18" si="3">IF(ISNUMBER(D15/B15),D15/B15," - ")</f>
        <v>73</v>
      </c>
      <c r="F15" s="406">
        <f>IF(ISNUMBER(Datos!N15),Datos!N15," - ")</f>
        <v>825</v>
      </c>
      <c r="G15" s="407">
        <f t="shared" ref="G15:G18" si="4">IF(ISNUMBER(F15/B15),F15/B15," - ")</f>
        <v>275</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79</v>
      </c>
      <c r="G17" s="407">
        <f>IF(ISNUMBER(F17/B17),F17/B17," - ")</f>
        <v>79</v>
      </c>
      <c r="H17" s="406">
        <f>IF(ISNUMBER(Datos!O17),Datos!O17," - ")</f>
        <v>0</v>
      </c>
      <c r="I17" s="407">
        <f t="shared" si="5"/>
        <v>0</v>
      </c>
    </row>
    <row r="18" spans="1:9" ht="14.25" thickTop="1" thickBot="1">
      <c r="A18" s="851" t="str">
        <f>Datos!A18</f>
        <v>TOTAL</v>
      </c>
      <c r="B18" s="852">
        <f>Datos!AO18</f>
        <v>4</v>
      </c>
      <c r="C18" s="854">
        <f>Datos!AR18</f>
        <v>3</v>
      </c>
      <c r="D18" s="852">
        <f>SUBTOTAL(9,D15:D17)</f>
        <v>221</v>
      </c>
      <c r="E18" s="853">
        <f t="shared" si="3"/>
        <v>55.25</v>
      </c>
      <c r="F18" s="852">
        <f>SUBTOTAL(9,F15:F17)</f>
        <v>904</v>
      </c>
      <c r="G18" s="853">
        <f t="shared" si="4"/>
        <v>226</v>
      </c>
      <c r="H18" s="852">
        <f>SUBTOTAL(9,H15:H17)</f>
        <v>0</v>
      </c>
      <c r="I18" s="853">
        <f>IF(ISNUMBER(H18/B18),H18/B18," - ")</f>
        <v>0</v>
      </c>
    </row>
    <row r="19" spans="1:9" ht="14.25" thickTop="1" thickBot="1">
      <c r="A19" s="796" t="str">
        <f>Datos!A19</f>
        <v>TOTAL JURISDICCIONES</v>
      </c>
      <c r="B19" s="797">
        <f>Datos!AP19</f>
        <v>9</v>
      </c>
      <c r="C19" s="797">
        <f>Datos!AR19</f>
        <v>9</v>
      </c>
      <c r="D19" s="797">
        <f>SUBTOTAL(9,D8:D18)</f>
        <v>839</v>
      </c>
      <c r="E19" s="798">
        <f>IF(ISNUMBER(D19/B19),D19/B19," - ")</f>
        <v>93.222222222222229</v>
      </c>
      <c r="F19" s="797">
        <f>SUBTOTAL(9,F8:F18)</f>
        <v>1657</v>
      </c>
      <c r="G19" s="798">
        <f>IF(ISNUMBER(F19/B19),F19/B19," - ")</f>
        <v>184.11111111111111</v>
      </c>
      <c r="H19" s="797">
        <f>SUBTOTAL(9,H8:H18)</f>
        <v>882</v>
      </c>
      <c r="I19" s="798">
        <f>IF(ISNUMBER(H19/B19),H19/B19," - ")</f>
        <v>98</v>
      </c>
    </row>
    <row r="22" spans="1:9">
      <c r="A22" s="394" t="str">
        <f>Criterios!A4</f>
        <v>Fecha Informe: 07 mar. 2024</v>
      </c>
    </row>
    <row r="27" spans="1:9">
      <c r="A27" s="417"/>
    </row>
  </sheetData>
  <sheetProtection algorithmName="SHA-512" hashValue="aY3WN4gcxCmVDQ1s4fcTtjXIbA6LWQRCRCw8LaUZErNHWABJR2tCNvhc/10Yc03n7oHz9hYwmYdz9BhoNNVO6g==" saltValue="jZvL/phbK0CPZyv+uH3M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LUGO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441</v>
      </c>
      <c r="C9" s="437">
        <f>IF(ISNUMBER(Datos!Q9),Datos!Q9," - ")</f>
        <v>523</v>
      </c>
      <c r="D9" s="411">
        <f>IF(ISNUMBER(Datos!R9),Datos!R9," - ")</f>
        <v>4846</v>
      </c>
    </row>
    <row r="10" spans="1:4">
      <c r="A10" s="405" t="str">
        <f>Datos!A10</f>
        <v>Jdos. Violencia contra la mujer</v>
      </c>
      <c r="B10" s="436">
        <f>IF(ISNUMBER(Datos!P10),Datos!P10," - ")</f>
        <v>0</v>
      </c>
      <c r="C10" s="437">
        <f>IF(ISNUMBER(Datos!Q10),Datos!Q10," - ")</f>
        <v>0</v>
      </c>
      <c r="D10" s="411">
        <f>IF(ISNUMBER(Datos!R10),Datos!R10," - ")</f>
        <v>53</v>
      </c>
    </row>
    <row r="11" spans="1:4">
      <c r="A11" s="405" t="str">
        <f>Datos!A11</f>
        <v xml:space="preserve">Jdos. Familia                                   </v>
      </c>
      <c r="B11" s="436">
        <f>IF(ISNUMBER(Datos!P11),Datos!P11," - ")</f>
        <v>8</v>
      </c>
      <c r="C11" s="437">
        <f>IF(ISNUMBER(Datos!Q11),Datos!Q11," - ")</f>
        <v>1</v>
      </c>
      <c r="D11" s="411">
        <f>IF(ISNUMBER(Datos!R11),Datos!R11," - ")</f>
        <v>17</v>
      </c>
    </row>
    <row r="12" spans="1:4" ht="13.5" thickBot="1">
      <c r="A12" s="405" t="str">
        <f>Datos!A12</f>
        <v xml:space="preserve">Jdos. 1ª Instª. e Instr.                        </v>
      </c>
      <c r="B12" s="436">
        <f>IF(ISNUMBER(Datos!P12),Datos!P12," - ")</f>
        <v>3</v>
      </c>
      <c r="C12" s="437">
        <f>IF(ISNUMBER(Datos!Q12),Datos!Q12," - ")</f>
        <v>2</v>
      </c>
      <c r="D12" s="411">
        <f>IF(ISNUMBER(Datos!R12),Datos!R12," - ")</f>
        <v>387</v>
      </c>
    </row>
    <row r="13" spans="1:4" ht="14.25" thickTop="1" thickBot="1">
      <c r="A13" s="851" t="str">
        <f>Datos!A13</f>
        <v>TOTAL</v>
      </c>
      <c r="B13" s="852">
        <f>SUBTOTAL(9,B9:B12)</f>
        <v>452</v>
      </c>
      <c r="C13" s="856">
        <f>SUBTOTAL(9,C9:C12)</f>
        <v>526</v>
      </c>
      <c r="D13" s="854">
        <f>SUBTOTAL(9,D9:D12)</f>
        <v>5303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50</v>
      </c>
      <c r="C15" s="437">
        <f>IF(ISNUMBER(Datos!Q15),Datos!Q15," - ")</f>
        <v>51</v>
      </c>
      <c r="D15" s="411">
        <f>IF(ISNUMBER(Datos!R15),Datos!R15," - ")</f>
        <v>230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50</v>
      </c>
      <c r="C18" s="856">
        <f>SUBTOTAL(9,C15:C17)</f>
        <v>51</v>
      </c>
      <c r="D18" s="854">
        <f>SUBTOTAL(9,D15:D17)</f>
        <v>230</v>
      </c>
    </row>
    <row r="19" spans="1:4" ht="16.5" customHeight="1" thickTop="1" thickBot="1">
      <c r="A19" s="796" t="str">
        <f>Datos!A19</f>
        <v>TOTAL JURISDICCIONES</v>
      </c>
      <c r="B19" s="801">
        <f>SUBTOTAL(9,B8:B18)</f>
        <v>502</v>
      </c>
      <c r="C19" s="802">
        <f>SUBTOTAL(9,C8:C18)</f>
        <v>577</v>
      </c>
      <c r="D19" s="803">
        <f>SUBTOTAL(9,D8:D18)</f>
        <v>5533</v>
      </c>
    </row>
    <row r="20" spans="1:4" ht="7.5" customHeight="1"/>
    <row r="21" spans="1:4" ht="6" customHeight="1"/>
    <row r="22" spans="1:4">
      <c r="A22" s="394" t="str">
        <f>Criterios!A4</f>
        <v>Fecha Informe: 07 mar. 2024</v>
      </c>
    </row>
    <row r="27" spans="1:4">
      <c r="A27" s="417"/>
    </row>
  </sheetData>
  <sheetProtection algorithmName="SHA-512" hashValue="NV1Ad8DMwEW1OzdjjVSHmWAnBpDD+wVTQJFZ1WPasSy8c9IivWpQAEvDbQQ8eVrzY93nihTgE84QM39vDmNh0Q==" saltValue="dR99BRuuj0T1XoSdVbWW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LUGO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-3.2077764277035237E-2</v>
      </c>
      <c r="C9" s="459">
        <f>IF(ISNUMBER(
   IF(J_V="SI",(Datos!J9-Datos!T9)/Datos!T9,(Datos!J9+Datos!Z9-(Datos!T9+Datos!AH9))/(Datos!T9+Datos!AH9))
     ),IF(J_V="SI",(Datos!J9-Datos!T9)/Datos!T9,(Datos!J9+Datos!Z9-(Datos!T9+Datos!AH9))/(Datos!T9+Datos!AH9))," - ")</f>
        <v>-0.16735253772290809</v>
      </c>
      <c r="D9" s="459">
        <f>IF(ISNUMBER(
   IF(J_V="SI",(Datos!K9-Datos!U9)/Datos!U9,(Datos!K9+Datos!AA9-(Datos!U9+Datos!AI9))/(Datos!U9+Datos!AI9))
     ),IF(J_V="SI",(Datos!K9-Datos!U9)/Datos!U9,(Datos!K9+Datos!AA9-(Datos!U9+Datos!AI9))/(Datos!U9+Datos!AI9))," - ")</f>
        <v>-0.20938794293603313</v>
      </c>
      <c r="E9" s="459">
        <f>IF(ISNUMBER(
   IF(J_V="SI",(Datos!L9-Datos!V9)/Datos!V9,(Datos!L9+Datos!AB9-(Datos!V9+Datos!AJ9))/(Datos!V9+Datos!AJ9))
     ),IF(J_V="SI",(Datos!L9-Datos!V9)/Datos!V9,(Datos!L9+Datos!AB9-(Datos!V9+Datos!AJ9))/(Datos!V9+Datos!AJ9))," - ")</f>
        <v>-1.1382901428917413E-2</v>
      </c>
      <c r="F9" s="459">
        <f>IF(ISNUMBER((Datos!M9-Datos!W9)/Datos!W9),(Datos!M9-Datos!W9)/Datos!W9," - ")</f>
        <v>0.12731006160164271</v>
      </c>
      <c r="G9" s="460">
        <f>IF(ISNUMBER((Datos!N9-Datos!X9)/Datos!X9),(Datos!N9-Datos!X9)/Datos!X9," - ")</f>
        <v>-0.26781326781326781</v>
      </c>
      <c r="H9" s="458">
        <f>IF(ISNUMBER(((NºAsuntos!G9/NºAsuntos!E9)-Datos!BD9)/Datos!BD9),((NºAsuntos!G9/NºAsuntos!E9)-Datos!BD9)/Datos!BD9," - ")</f>
        <v>-5.0484036903407185E-2</v>
      </c>
      <c r="I9" s="459">
        <f>IF(ISNUMBER(((NºAsuntos!I9/NºAsuntos!G9)-Datos!BE9)/Datos!BE9),((NºAsuntos!I9/NºAsuntos!G9)-Datos!BE9)/Datos!BE9," - ")</f>
        <v>0.25044525913560106</v>
      </c>
      <c r="J9" s="464">
        <f>IF(ISNUMBER((('Resol  Asuntos'!D9/NºAsuntos!G9)-Datos!BF9)/Datos!BF9),(('Resol  Asuntos'!D9/NºAsuntos!G9)-Datos!BF9)/Datos!BF9," - ")</f>
        <v>-0.14693032009679274</v>
      </c>
      <c r="K9" s="465">
        <f>IF(ISNUMBER((((NºAsuntos!C9+NºAsuntos!E9)/NºAsuntos!G9)-Datos!BG9)/Datos!BG9),(((NºAsuntos!C9+NºAsuntos!E9)/NºAsuntos!G9)-Datos!BG9)/Datos!BG9," - ")</f>
        <v>0.16489175600332365</v>
      </c>
    </row>
    <row r="10" spans="1:11">
      <c r="A10" s="405" t="str">
        <f>Datos!A10</f>
        <v>Jdos. Violencia contra la mujer</v>
      </c>
      <c r="B10" s="458">
        <f>IF(ISNUMBER((Datos!I10-Datos!S10)/Datos!S10),(Datos!I10-Datos!S10)/Datos!S10," - ")</f>
        <v>2.2988505747126436E-2</v>
      </c>
      <c r="C10" s="459">
        <f>IF(ISNUMBER((Datos!J10-Datos!T10)/Datos!T10),(Datos!J10-Datos!T10)/Datos!T10," - ")</f>
        <v>-0.3</v>
      </c>
      <c r="D10" s="459">
        <f>IF(ISNUMBER((Datos!K10-Datos!U10)/Datos!U10),(Datos!K10-Datos!U10)/Datos!U10," - ")</f>
        <v>1.7272727272727273</v>
      </c>
      <c r="E10" s="459">
        <f>IF(ISNUMBER((Datos!L10-Datos!V10)/Datos!V10),(Datos!L10-Datos!V10)/Datos!V10," - ")</f>
        <v>-0.23958333333333334</v>
      </c>
      <c r="F10" s="459">
        <f>IF(ISNUMBER((Datos!M10-Datos!W10)/Datos!W10),(Datos!M10-Datos!W10)/Datos!W10," - ")</f>
        <v>1</v>
      </c>
      <c r="G10" s="460">
        <f>IF(ISNUMBER((Datos!N10-Datos!X10)/Datos!X10),(Datos!N10-Datos!X10)/Datos!X10," - ")</f>
        <v>0.66666666666666663</v>
      </c>
      <c r="H10" s="458">
        <f>IF(ISNUMBER(((NºAsuntos!G10/NºAsuntos!E10)-Datos!BD10)/Datos!BD10),((NºAsuntos!G10/NºAsuntos!E10)-Datos!BD10)/Datos!BD10," - ")</f>
        <v>2.8961038961038956</v>
      </c>
      <c r="I10" s="459">
        <f>IF(ISNUMBER(((NºAsuntos!I10/NºAsuntos!G10)-Datos!BE10)/Datos!BE10),((NºAsuntos!I10/NºAsuntos!G10)-Datos!BE10)/Datos!BE10," - ")</f>
        <v>-0.72118055555555549</v>
      </c>
      <c r="J10" s="464">
        <f>IF(ISNUMBER((('Resol  Asuntos'!D10/NºAsuntos!G10)-Datos!BF10)/Datos!BF10),(('Resol  Asuntos'!D10/NºAsuntos!G10)-Datos!BF10)/Datos!BF10," - ")</f>
        <v>-0.26666666666666672</v>
      </c>
      <c r="K10" s="465">
        <f>IF(ISNUMBER((((NºAsuntos!C10+NºAsuntos!E10)/NºAsuntos!G10)-Datos!BG10)/Datos!BG10),(((NºAsuntos!C10+NºAsuntos!E10)/NºAsuntos!G10)-Datos!BG10)/Datos!BG10," - ")</f>
        <v>-0.64704049844236755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v>
      </c>
      <c r="C12" s="459">
        <f>IF(ISNUMBER(
   IF(J_V="SI",(Datos!J12-Datos!T12)/Datos!T12,(Datos!J12+Datos!Z12-(Datos!T12+Datos!AH12))/(Datos!T12+Datos!AH12))
     ),IF(J_V="SI",(Datos!J12-Datos!T12)/Datos!T12,(Datos!J12+Datos!Z12-(Datos!T12+Datos!AH12))/(Datos!T12+Datos!AH12))," - ")</f>
        <v>-1</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-0.8571428571428571</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3.7986704653371318E-2</v>
      </c>
      <c r="C13" s="858">
        <f>IF(ISNUMBER(
   IF(J_V="SI",(Datos!J13-Datos!T13)/Datos!T13,(Datos!J13+Datos!Z13-(Datos!T13+Datos!AH13))/(Datos!T13+Datos!AH13))
     ),IF(J_V="SI",(Datos!J13-Datos!T13)/Datos!T13,(Datos!J13+Datos!Z13-(Datos!T13+Datos!AH13))/(Datos!T13+Datos!AH13))," - ")</f>
        <v>-9.0456806874717323E-4</v>
      </c>
      <c r="D13" s="858">
        <f>IF(ISNUMBER(
   IF(J_V="SI",(Datos!K13-Datos!U13)/Datos!U13,(Datos!K13+Datos!AA13-(Datos!U13+Datos!AI13))/(Datos!U13+Datos!AI13))
     ),IF(J_V="SI",(Datos!K13-Datos!U13)/Datos!U13,(Datos!K13+Datos!AA13-(Datos!U13+Datos!AI13))/(Datos!U13+Datos!AI13))," - ")</f>
        <v>-5.3113553113553112E-2</v>
      </c>
      <c r="E13" s="858">
        <f>IF(ISNUMBER(
   IF(J_V="SI",(Datos!L13-Datos!V13)/Datos!V13,(Datos!L13+Datos!AB13-(Datos!V13+Datos!AJ13))/(Datos!V13+Datos!AJ13))
     ),IF(J_V="SI",(Datos!L13-Datos!V13)/Datos!V13,(Datos!L13+Datos!AB13-(Datos!V13+Datos!AJ13))/(Datos!V13+Datos!AJ13))," - ")</f>
        <v>6.1099315876385937E-2</v>
      </c>
      <c r="F13" s="859">
        <f>IF(ISNUMBER((Datos!M13-Datos!W13)/Datos!W13),(Datos!M13-Datos!W13)/Datos!W13," - ")</f>
        <v>0.25865580448065173</v>
      </c>
      <c r="G13" s="860">
        <f>IF(ISNUMBER((Datos!N13-Datos!X13)/Datos!X13),(Datos!N13-Datos!X13)/Datos!X13," - ")</f>
        <v>-7.8335373317013457E-2</v>
      </c>
      <c r="H13" s="860">
        <f>IF(ISNUMBER(((NºAsuntos!G13/NºAsuntos!E13)-Datos!BD13)/Datos!BD13),((NºAsuntos!G13/NºAsuntos!E13)-Datos!BD13)/Datos!BD13," - ")</f>
        <v>-5.2256254383913889E-2</v>
      </c>
      <c r="I13" s="860">
        <f>IF(ISNUMBER(((NºAsuntos!I13/NºAsuntos!G13)-Datos!BE13)/Datos!BE13),((NºAsuntos!I13/NºAsuntos!G13)-Datos!BE13)/Datos!BE13," - ")</f>
        <v>0.12061939355610578</v>
      </c>
      <c r="J13" s="860">
        <f>IF(ISNUMBER((('Resol  Asuntos'!D13/NºAsuntos!G13)-Datos!BF13)/Datos!BF13),(('Resol  Asuntos'!D13/NºAsuntos!G13)-Datos!BF13)/Datos!BF13," - ")</f>
        <v>-0.20212056579949206</v>
      </c>
      <c r="K13" s="860">
        <f>IF(ISNUMBER((((NºAsuntos!C13+NºAsuntos!E13)/NºAsuntos!G13)-Datos!BG13)/Datos!BG13),(((NºAsuntos!C13+NºAsuntos!E13)/NºAsuntos!G13)-Datos!BG13)/Datos!BG13," - ")</f>
        <v>8.2071773615792598E-2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0.38560267857142855</v>
      </c>
      <c r="C15" s="459">
        <f>IF(ISNUMBER(
   IF(D_I="SI",(Datos!J15-Datos!T15)/Datos!T15,(Datos!J15+Datos!AD15-(Datos!T15+Datos!AL15))/(Datos!T15+Datos!AL15))
     ),IF(D_I="SI",(Datos!J15-Datos!T15)/Datos!T15,(Datos!J15+Datos!AD15-(Datos!T15+Datos!AL15))/(Datos!T15+Datos!AL15))," - ")</f>
        <v>0.25617792421746294</v>
      </c>
      <c r="D15" s="459">
        <f>IF(ISNUMBER(
   IF(D_I="SI",(Datos!K15-Datos!U15)/Datos!U15,(Datos!K15+Datos!AE15-(Datos!U15+Datos!AM15))/(Datos!U15+Datos!AM15))
     ),IF(D_I="SI",(Datos!K15-Datos!U15)/Datos!U15,(Datos!K15+Datos!AE15-(Datos!U15+Datos!AM15))/(Datos!U15+Datos!AM15))," - ")</f>
        <v>0.27420736932305056</v>
      </c>
      <c r="E15" s="459">
        <f>IF(ISNUMBER(
   IF(D_I="SI",(Datos!L15-Datos!V15)/Datos!V15,(Datos!L15+Datos!AF15-(Datos!V15+Datos!AN15))/(Datos!V15+Datos!AN15))
     ),IF(D_I="SI",(Datos!L15-Datos!V15)/Datos!V15,(Datos!L15+Datos!AF15-(Datos!V15+Datos!AN15))/(Datos!V15+Datos!AN15))," - ")</f>
        <v>0.1808799565453558</v>
      </c>
      <c r="F15" s="459">
        <f>IF(ISNUMBER((Datos!M15-Datos!W15)/Datos!W15),(Datos!M15-Datos!W15)/Datos!W15," - ")</f>
        <v>0.28823529411764703</v>
      </c>
      <c r="G15" s="460">
        <f>IF(ISNUMBER((Datos!N15-Datos!X15)/Datos!X15),(Datos!N15-Datos!X15)/Datos!X15," - ")</f>
        <v>0.22403560830860533</v>
      </c>
      <c r="H15" s="458">
        <f>IF(ISNUMBER(((NºAsuntos!G15/NºAsuntos!E15)-Datos!BD15)/Datos!BD15),((NºAsuntos!G15/NºAsuntos!E15)-Datos!BD15)/Datos!BD15," - ")</f>
        <v>1.4352620562743248E-2</v>
      </c>
      <c r="I15" s="459">
        <f>IF(ISNUMBER(((NºAsuntos!I15/NºAsuntos!G15)-Datos!BE15)/Datos!BE15),((NºAsuntos!I15/NºAsuntos!G15)-Datos!BE15)/Datos!BE15," - ")</f>
        <v>-7.3243504177249424E-2</v>
      </c>
      <c r="J15" s="464">
        <f>IF(ISNUMBER((('Resol  Asuntos'!D15/NºAsuntos!G15)-Datos!BF15)/Datos!BF15),(('Resol  Asuntos'!D15/NºAsuntos!G15)-Datos!BF15)/Datos!BF15," - ")</f>
        <v>1.1009138019700266E-2</v>
      </c>
      <c r="K15" s="465">
        <f>IF(ISNUMBER((((NºAsuntos!C15+NºAsuntos!E15)/NºAsuntos!G15)-Datos!BG15)/Datos!BG15),(((NºAsuntos!C15+NºAsuntos!E15)/NºAsuntos!G15)-Datos!BG15)/Datos!BG15," - ")</f>
        <v>4.6402151983860239E-2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4.3243243243243246E-2</v>
      </c>
      <c r="C17" s="459">
        <f>IF(ISNUMBER(
   IF(D_I="SI",(Datos!J17-Datos!T17)/Datos!T17,(Datos!J17+Datos!AD17-(Datos!T17+Datos!AL17))/(Datos!T17+Datos!AL17))
     ),IF(D_I="SI",(Datos!J17-Datos!T17)/Datos!T17,(Datos!J17+Datos!AD17-(Datos!T17+Datos!AL17))/(Datos!T17+Datos!AL17))," - ")</f>
        <v>2.6315789473684209E-2</v>
      </c>
      <c r="D17" s="459">
        <f>IF(ISNUMBER(
   IF(D_I="SI",(Datos!K17-Datos!U17)/Datos!U17,(Datos!K17+Datos!AE17-(Datos!U17+Datos!AM17))/(Datos!U17+Datos!AM17))
     ),IF(D_I="SI",(Datos!K17-Datos!U17)/Datos!U17,(Datos!K17+Datos!AE17-(Datos!U17+Datos!AM17))/(Datos!U17+Datos!AM17))," - ")</f>
        <v>0.20952380952380953</v>
      </c>
      <c r="E17" s="459">
        <f>IF(ISNUMBER(
   IF(D_I="SI",(Datos!L17-Datos!V17)/Datos!V17,(Datos!L17+Datos!AF17-(Datos!V17+Datos!AN17))/(Datos!V17+Datos!AN17))
     ),IF(D_I="SI",(Datos!L17-Datos!V17)/Datos!V17,(Datos!L17+Datos!AF17-(Datos!V17+Datos!AN17))/(Datos!V17+Datos!AN17))," - ")</f>
        <v>-5.6701030927835051E-2</v>
      </c>
      <c r="F17" s="459">
        <f>IF(ISNUMBER((Datos!M17-Datos!W17)/Datos!W17),(Datos!M17-Datos!W17)/Datos!W17," - ")</f>
        <v>-0.6</v>
      </c>
      <c r="G17" s="460">
        <f>IF(ISNUMBER((Datos!N17-Datos!X17)/Datos!X17),(Datos!N17-Datos!X17)/Datos!X17," - ")</f>
        <v>8.2191780821917804E-2</v>
      </c>
      <c r="H17" s="458">
        <f>IF(ISNUMBER(((NºAsuntos!G17/NºAsuntos!E17)-Datos!BD17)/Datos!BD17),((NºAsuntos!G17/NºAsuntos!E17)-Datos!BD17)/Datos!BD17," - ")</f>
        <v>0.17851037851037846</v>
      </c>
      <c r="I17" s="459">
        <f>IF(ISNUMBER(((NºAsuntos!I17/NºAsuntos!G17)-Datos!BE17)/Datos!BE17),((NºAsuntos!I17/NºAsuntos!G17)-Datos!BE17)/Datos!BE17," - ")</f>
        <v>-0.22010715155450927</v>
      </c>
      <c r="J17" s="464">
        <f>IF(ISNUMBER((('Resol  Asuntos'!D17/NºAsuntos!G17)-Datos!BF17)/Datos!BF17),(('Resol  Asuntos'!D17/NºAsuntos!G17)-Datos!BF17)/Datos!BF17," - ")</f>
        <v>-0.6692913385826772</v>
      </c>
      <c r="K17" s="465">
        <f>IF(ISNUMBER((((NºAsuntos!C17+NºAsuntos!E17)/NºAsuntos!G17)-Datos!BG17)/Datos!BG17),(((NºAsuntos!C17+NºAsuntos!E17)/NºAsuntos!G17)-Datos!BG17)/Datos!BG17," - ")</f>
        <v>-0.14281199799857794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0.35356600910470409</v>
      </c>
      <c r="C18" s="858">
        <f>IF(ISNUMBER(
   IF(Criterios!B14="SI",(Datos!J18-Datos!T18)/Datos!T18,(Datos!J18+Datos!AD18-(Datos!T18+Datos!AL18))/(Datos!T18+Datos!AL18))
     ),IF(Criterios!B14="SI",(Datos!J18-Datos!T18)/Datos!T18,(Datos!J18+Datos!AD18-(Datos!T18+Datos!AL18))/(Datos!T18+Datos!AL18))," - ")</f>
        <v>0.23644578313253012</v>
      </c>
      <c r="D18" s="858">
        <f>IF(ISNUMBER(
   IF(Criterios!B14="SI",(Datos!K18-Datos!U18)/Datos!U18,(Datos!K18+Datos!AE18-(Datos!U18+Datos!AM18))/(Datos!U18+Datos!AM18))
     ),IF(Criterios!B14="SI",(Datos!K18-Datos!U18)/Datos!U18,(Datos!K18+Datos!AE18-(Datos!U18+Datos!AM18))/(Datos!U18+Datos!AM18))," - ")</f>
        <v>0.26886792452830188</v>
      </c>
      <c r="E18" s="858">
        <f>IF(ISNUMBER(
   IF(Criterios!B14="SI",(Datos!L18-Datos!V18)/Datos!V18,(Datos!L18+Datos!AF18-(Datos!V18+Datos!AN18))/(Datos!V18+Datos!AN18))
     ),IF(Criterios!B14="SI",(Datos!L18-Datos!V18)/Datos!V18,(Datos!L18+Datos!AF18-(Datos!V18+Datos!AN18))/(Datos!V18+Datos!AN18))," - ")</f>
        <v>0.15823095823095823</v>
      </c>
      <c r="F18" s="859">
        <f>IF(ISNUMBER((Datos!M18-Datos!W18)/Datos!W18),(Datos!M18-Datos!W18)/Datos!W18," - ")</f>
        <v>0.26285714285714284</v>
      </c>
      <c r="G18" s="860">
        <f>IF(ISNUMBER((Datos!N18-Datos!X18)/Datos!X18),(Datos!N18-Datos!X18)/Datos!X18," - ")</f>
        <v>0.21017402945113789</v>
      </c>
      <c r="H18" s="860">
        <f>IF(ISNUMBER(((NºAsuntos!G18/NºAsuntos!E18)-Datos!BD18)/Datos!BD18),((NºAsuntos!G18/NºAsuntos!E18)-Datos!BD18)/Datos!BD18," - ")</f>
        <v>2.6222048583182025E-2</v>
      </c>
      <c r="I18" s="860">
        <f>IF(ISNUMBER(((NºAsuntos!I18/NºAsuntos!G18)-Datos!BE18)/Datos!BE18),((NºAsuntos!I18/NºAsuntos!G18)-Datos!BE18)/Datos!BE18," - ")</f>
        <v>-8.719344555775782E-2</v>
      </c>
      <c r="J18" s="860">
        <f>IF(ISNUMBER((('Resol  Asuntos'!D18/NºAsuntos!G18)-Datos!BF18)/Datos!BF18),(('Resol  Asuntos'!D18/NºAsuntos!G18)-Datos!BF18)/Datos!BF18," - ")</f>
        <v>-4.737121614444971E-3</v>
      </c>
      <c r="K18" s="860">
        <f>IF(ISNUMBER((((NºAsuntos!C18+NºAsuntos!E18)/NºAsuntos!G18)-Datos!BG18)/Datos!BG18),(((NºAsuntos!C18+NºAsuntos!E18)/NºAsuntos!G18)-Datos!BG18)/Datos!BG18," - ")</f>
        <v>2.9662165582169574E-2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0.13879463564388431</v>
      </c>
      <c r="C19" s="805">
        <f>IF(ISNUMBER(
   IF(J_V="SI",(Datos!J19-Datos!T19)/Datos!T19,(Datos!J19+Datos!Z19-(Datos!T19+Datos!AH19))/(Datos!T19+Datos!AH19))
     ),IF(J_V="SI",(Datos!J19-Datos!T19)/Datos!T19,(Datos!J19+Datos!Z19-(Datos!T19+Datos!AH19))/(Datos!T19+Datos!AH19))," - ")</f>
        <v>8.8160497315625877E-2</v>
      </c>
      <c r="D19" s="805">
        <f>IF(ISNUMBER(
   IF(J_V="SI",(Datos!K19-Datos!U19)/Datos!U19,(Datos!K19+Datos!AA19-(Datos!U19+Datos!AI19))/(Datos!U19+Datos!AI19))
     ),IF(J_V="SI",(Datos!K19-Datos!U19)/Datos!U19,(Datos!K19+Datos!AA19-(Datos!U19+Datos!AI19))/(Datos!U19+Datos!AI19))," - ")</f>
        <v>6.5393518518518517E-2</v>
      </c>
      <c r="E19" s="805">
        <f>IF(ISNUMBER(
   IF(J_V="SI",(Datos!L19-Datos!V19)/Datos!V19,(Datos!L19+Datos!AB19-(Datos!V19+Datos!AJ19))/(Datos!V19+Datos!AJ19))
     ),IF(J_V="SI",(Datos!L19-Datos!V19)/Datos!V19,(Datos!L19+Datos!AB19-(Datos!V19+Datos!AJ19))/(Datos!V19+Datos!AJ19))," - ")</f>
        <v>9.2604399107427474E-2</v>
      </c>
      <c r="F19" s="806">
        <f>IF(ISNUMBER((Datos!M19-Datos!W19)/Datos!W19),(Datos!M19-Datos!W19)/Datos!W19," - ")</f>
        <v>0.25975975975975973</v>
      </c>
      <c r="G19" s="807">
        <f>IF(ISNUMBER((Datos!N19-Datos!X19)/Datos!X19),(Datos!N19-Datos!X19)/Datos!X19," - ")</f>
        <v>5.9462915601023021E-2</v>
      </c>
      <c r="H19" s="808">
        <f>IF(ISNUMBER((Tasas!B19-Datos!BD19)/Datos!BD19),(Tasas!B19-Datos!BD19)/Datos!BD19," - ")</f>
        <v>-2.0922445588928335E-2</v>
      </c>
      <c r="I19" s="809">
        <f>IF(ISNUMBER((Tasas!C19-Datos!BE19)/Datos!BE19),(Tasas!C19-Datos!BE19)/Datos!BE19," - ")</f>
        <v>2.5540685311045454E-2</v>
      </c>
      <c r="J19" s="810">
        <f>IF(ISNUMBER((Tasas!D19-Datos!BF19)/Datos!BF19),(Tasas!D19-Datos!BF19)/Datos!BF19," - ")</f>
        <v>-0.20694617892876421</v>
      </c>
      <c r="K19" s="810">
        <f>IF(ISNUMBER((Tasas!E19-Datos!BG19)/Datos!BG19),(Tasas!E19-Datos!BG19)/Datos!BG19," - ")</f>
        <v>5.1605963578146882E-2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G0ri/FpqOX/qLrzJjeNbWtFXZ+oomu/+LyU7V2BdG/0fTQJEWiXV4FpH0aCqOM4AD7vl5dOwwv59/xNZLhSKg==" saltValue="SVc9p38vgGJLqPmufYfv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LUGO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0.94343767160900605</v>
      </c>
      <c r="C9" s="446">
        <f>IF(ISNUMBER(NºAsuntos!I9/NºAsuntos!G9),NºAsuntos!I9/NºAsuntos!G9," - ")</f>
        <v>2.3760186263096625</v>
      </c>
      <c r="D9" s="447">
        <f>IF(ISNUMBER('Resol  Asuntos'!D9/NºAsuntos!G9),'Resol  Asuntos'!D9/NºAsuntos!G9," - ")</f>
        <v>0.31955762514551805</v>
      </c>
      <c r="E9" s="448">
        <f>IF(ISNUMBER((NºAsuntos!C9+NºAsuntos!E9)/NºAsuntos!G9),(NºAsuntos!C9+NºAsuntos!E9)/NºAsuntos!G9," - ")</f>
        <v>3.3783469150174623</v>
      </c>
      <c r="G9" s="466"/>
    </row>
    <row r="10" spans="1:7">
      <c r="A10" s="405" t="str">
        <f>Datos!A10</f>
        <v>Jdos. Violencia contra la mujer</v>
      </c>
      <c r="B10" s="445">
        <f>IF(ISNUMBER(NºAsuntos!G10/NºAsuntos!E10),NºAsuntos!G10/NºAsuntos!E10," - ")</f>
        <v>2.1428571428571428</v>
      </c>
      <c r="C10" s="446">
        <f>IF(ISNUMBER(NºAsuntos!I10/NºAsuntos!G10),NºAsuntos!I10/NºAsuntos!G10," - ")</f>
        <v>2.4333333333333331</v>
      </c>
      <c r="D10" s="447">
        <f>IF(ISNUMBER('Resol  Asuntos'!D10/NºAsuntos!G10),'Resol  Asuntos'!D10/NºAsuntos!G10," - ")</f>
        <v>0.26666666666666666</v>
      </c>
      <c r="E10" s="448">
        <f>IF(ISNUMBER((NºAsuntos!C10+NºAsuntos!E10)/NºAsuntos!G10),(NºAsuntos!C10+NºAsuntos!E10)/NºAsuntos!G10," - ")</f>
        <v>3.4333333333333331</v>
      </c>
      <c r="G10" s="466"/>
    </row>
    <row r="11" spans="1:7">
      <c r="A11" s="405" t="str">
        <f>Datos!A11</f>
        <v xml:space="preserve">Jdos. Familia                                   </v>
      </c>
      <c r="B11" s="445">
        <f>IF(ISNUMBER(NºAsuntos!G11/NºAsuntos!E11),NºAsuntos!G11/NºAsuntos!E11," - ")</f>
        <v>0.85561497326203206</v>
      </c>
      <c r="C11" s="446">
        <f>IF(ISNUMBER(NºAsuntos!I11/NºAsuntos!G11),NºAsuntos!I11/NºAsuntos!G11," - ")</f>
        <v>1.065625</v>
      </c>
      <c r="D11" s="447">
        <f>IF(ISNUMBER('Resol  Asuntos'!D11/NºAsuntos!G11),'Resol  Asuntos'!D11/NºAsuntos!G11," - ")</f>
        <v>0.19062499999999999</v>
      </c>
      <c r="E11" s="448">
        <f>IF(ISNUMBER((NºAsuntos!C11+NºAsuntos!E11)/NºAsuntos!G11),(NºAsuntos!C11+NºAsuntos!E11)/NºAsuntos!G11," - ")</f>
        <v>2.1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0.93617021276595747</v>
      </c>
      <c r="C13" s="862">
        <f>IF(ISNUMBER(NºAsuntos!I13/NºAsuntos!G13),NºAsuntos!I13/NºAsuntos!G13," - ")</f>
        <v>2.1750483558994196</v>
      </c>
      <c r="D13" s="863">
        <f>IF(ISNUMBER('Resol  Asuntos'!D13/NºAsuntos!G13),'Resol  Asuntos'!D13/NºAsuntos!G13," - ")</f>
        <v>0.29883945841392651</v>
      </c>
      <c r="E13" s="864">
        <f>IF(ISNUMBER((NºAsuntos!C13+NºAsuntos!E13)/NºAsuntos!G13),(NºAsuntos!C13+NºAsuntos!E13)/NºAsuntos!G13," - ")</f>
        <v>3.1823017408123793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0.9750819672131148</v>
      </c>
      <c r="C15" s="446">
        <f>IF(ISNUMBER(NºAsuntos!I15/NºAsuntos!G15),NºAsuntos!I15/NºAsuntos!G15," - ")</f>
        <v>1.4620040349697376</v>
      </c>
      <c r="D15" s="447">
        <f>IF(ISNUMBER('Resol  Asuntos'!D15/NºAsuntos!G15),'Resol  Asuntos'!D15/NºAsuntos!G15," - ")</f>
        <v>0.1472763954270343</v>
      </c>
      <c r="E15" s="448">
        <f>IF(ISNUMBER((NºAsuntos!C15+NºAsuntos!E15)/NºAsuntos!G15),(NºAsuntos!C15+NºAsuntos!E15)/NºAsuntos!G15," - ")</f>
        <v>2.6953597848016142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1.0854700854700854</v>
      </c>
      <c r="C17" s="446">
        <f>IF(ISNUMBER(NºAsuntos!I17/NºAsuntos!G17),NºAsuntos!I17/NºAsuntos!G17," - ")</f>
        <v>1.4409448818897639</v>
      </c>
      <c r="D17" s="447">
        <f>IF(ISNUMBER('Resol  Asuntos'!D17/NºAsuntos!G17),'Resol  Asuntos'!D17/NºAsuntos!G17," - ")</f>
        <v>1.5748031496062992E-2</v>
      </c>
      <c r="E17" s="448">
        <f>IF(ISNUMBER((NºAsuntos!C17+NºAsuntos!E17)/NºAsuntos!G17),(NºAsuntos!C17+NºAsuntos!E17)/NºAsuntos!G17," - ")</f>
        <v>2.4409448818897639</v>
      </c>
      <c r="G17" s="466"/>
    </row>
    <row r="18" spans="1:7" ht="14.25" thickTop="1" thickBot="1">
      <c r="A18" s="851" t="str">
        <f>Datos!A18</f>
        <v>TOTAL</v>
      </c>
      <c r="B18" s="861">
        <f>IF(ISNUMBER(NºAsuntos!G18/NºAsuntos!E18),NºAsuntos!G18/NºAsuntos!E18," - ")</f>
        <v>0.98294762484774667</v>
      </c>
      <c r="C18" s="862">
        <f>IF(ISNUMBER(NºAsuntos!I18/NºAsuntos!G18),NºAsuntos!I18/NºAsuntos!G18," - ")</f>
        <v>1.4603469640644362</v>
      </c>
      <c r="D18" s="865">
        <f>IF(ISNUMBER('Resol  Asuntos'!D18/NºAsuntos!G18),'Resol  Asuntos'!D18/NºAsuntos!G18," - ")</f>
        <v>0.13692688971499381</v>
      </c>
      <c r="E18" s="864">
        <f>IF(ISNUMBER((NºAsuntos!C18+NºAsuntos!E18)/NºAsuntos!G18),(NºAsuntos!C18+NºAsuntos!E18)/NºAsuntos!G18," - ")</f>
        <v>2.6753407682775712</v>
      </c>
      <c r="G18" s="466"/>
    </row>
    <row r="19" spans="1:7" ht="15.75" customHeight="1" thickTop="1" thickBot="1">
      <c r="A19" s="796" t="str">
        <f>Datos!A19</f>
        <v>TOTAL JURISDICCIONES</v>
      </c>
      <c r="B19" s="811">
        <f>IF(ISNUMBER(NºAsuntos!G19/NºAsuntos!E19),NºAsuntos!G19/NºAsuntos!E19," - ")</f>
        <v>0.95611529472864187</v>
      </c>
      <c r="C19" s="812">
        <f>IF(ISNUMBER(NºAsuntos!I19/NºAsuntos!G19),NºAsuntos!I19/NºAsuntos!G19," - ")</f>
        <v>1.8617599130907116</v>
      </c>
      <c r="D19" s="813">
        <f>IF(ISNUMBER('Resol  Asuntos'!D19/NºAsuntos!G19),'Resol  Asuntos'!D19/NºAsuntos!G19," - ")</f>
        <v>0.2278652906029332</v>
      </c>
      <c r="E19" s="814">
        <f>IF(ISNUMBER((NºAsuntos!C19+NºAsuntos!E19)/NºAsuntos!G19),(NºAsuntos!C19+NºAsuntos!E19)/NºAsuntos!G19," - ")</f>
        <v>2.9600760456273765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KjT4FYoiWdHt+T3TOik3KalTjyBcyRt8RVZ61WzUUbqA03NDDghigfg6om2fDRzR6GXiEOa5kH/OsYAl52L+Q==" saltValue="OGzEtORteQW7CNMSFs1T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LUGO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245</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441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523</v>
      </c>
      <c r="Y9" s="337">
        <f>SUM(W9:X9)</f>
        <v>523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4846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549</v>
      </c>
      <c r="AJ9" s="232" t="str">
        <f>IF(ISNUMBER(Datos!BW9),Datos!BW9," - ")</f>
        <v xml:space="preserve"> - </v>
      </c>
      <c r="AK9" s="231" t="str">
        <f>IF(ISNUMBER(Datos!BX9),Datos!BX9," - ")</f>
        <v xml:space="preserve"> - </v>
      </c>
      <c r="AL9" s="246">
        <f>IF(ISNUMBER(NºAsuntos!G9/NºAsuntos!E9),NºAsuntos!G9/NºAsuntos!E9," - ")</f>
        <v>0.94343767160900605</v>
      </c>
      <c r="AM9" s="263">
        <f>IF(ISNUMBER(((NºAsuntos!I9/NºAsuntos!G9)*11)/factor_trimestre),((NºAsuntos!I9/NºAsuntos!G9)*11)/factor_trimestre," - ")</f>
        <v>7.1280558789289872</v>
      </c>
      <c r="AN9" s="247">
        <f>IF(ISNUMBER('Resol  Asuntos'!D9/NºAsuntos!G9),'Resol  Asuntos'!D9/NºAsuntos!G9," - ")</f>
        <v>0.31955762514551805</v>
      </c>
      <c r="AO9" s="248">
        <f>IF(ISNUMBER((NºAsuntos!C9+NºAsuntos!E9)/NºAsuntos!G9),(NºAsuntos!C9+NºAsuntos!E9)/NºAsuntos!G9," - ")</f>
        <v>3.3783469150174623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0</v>
      </c>
      <c r="F10" s="228">
        <f>IF(ISNUMBER(Datos!L10+Datos!K10-Datos!J10-K10),Datos!L10+Datos!K10-Datos!J10-K10," - ")</f>
        <v>89</v>
      </c>
      <c r="G10" s="336">
        <f>IF(ISNUMBER(Datos!I10),Datos!I10," - ")</f>
        <v>89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30</v>
      </c>
      <c r="X10" s="229">
        <f>IF(ISNUMBER(Datos!Q10),Datos!Q10," - ")</f>
        <v>0</v>
      </c>
      <c r="Y10" s="337">
        <f t="shared" ref="Y10:Y12" si="0">SUM(W10:X10)</f>
        <v>30</v>
      </c>
      <c r="Z10" s="338" t="str">
        <f>IF(ISNUMBER(Datos!CC10),Datos!CC10," - ")</f>
        <v xml:space="preserve"> - </v>
      </c>
      <c r="AA10" s="335">
        <f>IF(ISNUMBER(Datos!L10),Datos!L10,"-")</f>
        <v>73</v>
      </c>
      <c r="AB10" s="337">
        <f>IF(ISNUMBER(Datos!R10),Datos!R10," - ")</f>
        <v>53</v>
      </c>
      <c r="AC10" s="337">
        <f t="shared" ref="AC10:AC12" si="1">IF(ISNUMBER(AA10+AB10),AA10+AB10," - ")</f>
        <v>126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2.1428571428571428</v>
      </c>
      <c r="AM10" s="263">
        <f>IF(ISNUMBER(((NºAsuntos!I10/NºAsuntos!G10)*11)/factor_trimestre),((NºAsuntos!I10/NºAsuntos!G10)*11)/factor_trimestre," - ")</f>
        <v>7.3</v>
      </c>
      <c r="AN10" s="247">
        <f>IF(ISNUMBER('Resol  Asuntos'!D10/NºAsuntos!G10),'Resol  Asuntos'!D10/NºAsuntos!G10," - ")</f>
        <v>0.26666666666666666</v>
      </c>
      <c r="AO10" s="248">
        <f>IF(ISNUMBER((NºAsuntos!C10+NºAsuntos!E10)/NºAsuntos!G10),(NºAsuntos!C10+NºAsuntos!E10)/NºAsuntos!G10," - ")</f>
        <v>3.4333333333333331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v>
      </c>
      <c r="Y11" s="337">
        <f t="shared" si="0"/>
        <v>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61</v>
      </c>
      <c r="AJ11" s="234" t="str">
        <f>IF(ISNUMBER(Datos!BW11),Datos!BW11," - ")</f>
        <v xml:space="preserve"> - </v>
      </c>
      <c r="AK11" s="235" t="str">
        <f>IF(ISNUMBER(Datos!BX11),Datos!BX11," - ")</f>
        <v xml:space="preserve"> - </v>
      </c>
      <c r="AL11" s="246">
        <f>IF(ISNUMBER(NºAsuntos!G11/NºAsuntos!E11),NºAsuntos!G11/NºAsuntos!E11," - ")</f>
        <v>0.85561497326203206</v>
      </c>
      <c r="AM11" s="263">
        <f>IF(ISNUMBER(((NºAsuntos!I11/NºAsuntos!G11)*11)/factor_trimestre),((NºAsuntos!I11/NºAsuntos!G11)*11)/factor_trimestre," - ")</f>
        <v>3.1968750000000004</v>
      </c>
      <c r="AN11" s="247">
        <f>IF(ISNUMBER('Resol  Asuntos'!D11/NºAsuntos!G11),'Resol  Asuntos'!D11/NºAsuntos!G11," - ")</f>
        <v>0.19062499999999999</v>
      </c>
      <c r="AO11" s="248">
        <f>IF(ISNUMBER((NºAsuntos!C11+NºAsuntos!E11)/NºAsuntos!G11),(NºAsuntos!C11+NºAsuntos!E11)/NºAsuntos!G11," - ")</f>
        <v>2.1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v>
      </c>
      <c r="Y12" s="337">
        <f t="shared" si="0"/>
        <v>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89</v>
      </c>
      <c r="G13" s="869">
        <f t="shared" si="3"/>
        <v>89</v>
      </c>
      <c r="H13" s="868">
        <f t="shared" si="3"/>
        <v>0</v>
      </c>
      <c r="I13" s="870">
        <f t="shared" si="3"/>
        <v>0</v>
      </c>
      <c r="J13" s="870">
        <f t="shared" si="3"/>
        <v>0</v>
      </c>
      <c r="K13" s="870">
        <f t="shared" si="3"/>
        <v>0</v>
      </c>
      <c r="L13" s="870">
        <f t="shared" si="3"/>
        <v>452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30</v>
      </c>
      <c r="X13" s="870">
        <f t="shared" si="4"/>
        <v>526</v>
      </c>
      <c r="Y13" s="871">
        <f t="shared" si="4"/>
        <v>556</v>
      </c>
      <c r="Z13" s="871">
        <f t="shared" si="4"/>
        <v>0</v>
      </c>
      <c r="AA13" s="871">
        <f t="shared" si="4"/>
        <v>73</v>
      </c>
      <c r="AB13" s="871">
        <f t="shared" si="4"/>
        <v>5303</v>
      </c>
      <c r="AC13" s="871">
        <f t="shared" si="4"/>
        <v>126</v>
      </c>
      <c r="AD13" s="871">
        <f t="shared" si="4"/>
        <v>0</v>
      </c>
      <c r="AE13" s="875">
        <f t="shared" si="4"/>
        <v>0</v>
      </c>
      <c r="AF13" s="868">
        <f t="shared" si="4"/>
        <v>0</v>
      </c>
      <c r="AG13" s="876">
        <f t="shared" si="4"/>
        <v>0</v>
      </c>
      <c r="AH13" s="873">
        <f t="shared" si="4"/>
        <v>0</v>
      </c>
      <c r="AI13" s="868">
        <f t="shared" si="4"/>
        <v>618</v>
      </c>
      <c r="AJ13" s="870">
        <f t="shared" si="4"/>
        <v>0</v>
      </c>
      <c r="AK13" s="873">
        <f>SUBTOTAL(9,AK9:AK12)</f>
        <v>0</v>
      </c>
      <c r="AL13" s="877">
        <f>IF(ISNUMBER(NºAsuntos!G13/NºAsuntos!E13),NºAsuntos!G13/NºAsuntos!E13," - ")</f>
        <v>0.93617021276595747</v>
      </c>
      <c r="AM13" s="877">
        <f>IF(ISNUMBER(((NºAsuntos!I13/NºAsuntos!G13)*11)/factor_trimestre),((NºAsuntos!I13/NºAsuntos!G13)*11)/factor_trimestre," - ")</f>
        <v>6.5251450676982587</v>
      </c>
      <c r="AN13" s="878">
        <f>IF(ISNUMBER('Resol  Asuntos'!D13/NºAsuntos!G13),'Resol  Asuntos'!D13/NºAsuntos!G13," - ")</f>
        <v>0.29883945841392651</v>
      </c>
      <c r="AO13" s="879">
        <f>IF(ISNUMBER((NºAsuntos!C13+NºAsuntos!E13)/NºAsuntos!G13),(NºAsuntos!C13+NºAsuntos!E13)/NºAsuntos!G13," - ")</f>
        <v>3.1823017408123793</v>
      </c>
      <c r="AP13" s="880" t="str">
        <f t="shared" si="2"/>
        <v xml:space="preserve"> - </v>
      </c>
      <c r="AQ13" s="880">
        <f>IF(ISNUMBER((H13-W13+K13)/(F13)),(H13-W13+K13)/(F13)," - ")</f>
        <v>-0.33707865168539325</v>
      </c>
      <c r="AR13" s="881">
        <f>IF(ISNUMBER((Datos!P13-Datos!Q13)/(Datos!R13-Datos!P13+Datos!Q13)),(Datos!P13-Datos!Q13)/(Datos!R13-Datos!P13+Datos!Q13)," - ")</f>
        <v>-1.3762320996838386E-2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2136</v>
      </c>
      <c r="G15" s="336">
        <f>IF(ISNUMBER(IF(D_I="SI",Datos!I15,Datos!I15+Datos!AC15)),IF(D_I="SI",Datos!I15,Datos!I15+Datos!AC15)," - ")</f>
        <v>2483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1487</v>
      </c>
      <c r="X15" s="229">
        <f>IF(ISNUMBER(Datos!Q15),Datos!Q15," - ")</f>
        <v>51</v>
      </c>
      <c r="Y15" s="337">
        <f>SUM(W15)</f>
        <v>1487</v>
      </c>
      <c r="Z15" s="338" t="str">
        <f>IF(ISNUMBER(Datos!CC15),Datos!CC15," - ")</f>
        <v xml:space="preserve"> - </v>
      </c>
      <c r="AA15" s="335">
        <f>IF(ISNUMBER(IF(D_I="SI",Datos!L15,Datos!L15+Datos!AF15)),IF(D_I="SI",Datos!L15,Datos!L15+Datos!AF15)," - ")</f>
        <v>2174</v>
      </c>
      <c r="AB15" s="337">
        <f>IF(ISNUMBER(Datos!R15),Datos!R15," - ")</f>
        <v>230</v>
      </c>
      <c r="AC15" s="337">
        <f t="shared" ref="AC15:AC17" si="6">IF(ISNUMBER(AA15+AB15),AA15+AB15," - ")</f>
        <v>2404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219</v>
      </c>
      <c r="AJ15" s="234" t="str">
        <f>IF(ISNUMBER(Datos!BW15),Datos!BW15," - ")</f>
        <v xml:space="preserve"> - </v>
      </c>
      <c r="AK15" s="235" t="str">
        <f>IF(ISNUMBER(Datos!BX15),Datos!BX15," - ")</f>
        <v xml:space="preserve"> - </v>
      </c>
      <c r="AL15" s="246">
        <f>IF(ISNUMBER(NºAsuntos!G15/NºAsuntos!E15),NºAsuntos!G15/NºAsuntos!E15," - ")</f>
        <v>0.9750819672131148</v>
      </c>
      <c r="AM15" s="263">
        <f>IF(ISNUMBER(((NºAsuntos!I15/NºAsuntos!G15)*11)/factor_trimestre),((NºAsuntos!I15/NºAsuntos!G15)*11)/factor_trimestre," - ")</f>
        <v>4.3860121049092129</v>
      </c>
      <c r="AN15" s="247">
        <f>IF(ISNUMBER('Resol  Asuntos'!D15/NºAsuntos!G15),'Resol  Asuntos'!D15/NºAsuntos!G15," - ")</f>
        <v>0.1472763954270343</v>
      </c>
      <c r="AO15" s="248">
        <f>IF(ISNUMBER((NºAsuntos!C15+NºAsuntos!E15)/NºAsuntos!G15),(NºAsuntos!C15+NºAsuntos!E15)/NºAsuntos!G15," - ")</f>
        <v>2.6953597848016142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127</v>
      </c>
      <c r="X17" s="229">
        <f>IF(ISNUMBER(Datos!Q17),Datos!Q17," - ")</f>
        <v>0</v>
      </c>
      <c r="Y17" s="337">
        <f t="shared" si="7"/>
        <v>127</v>
      </c>
      <c r="Z17" s="338" t="str">
        <f>IF(ISNUMBER(Datos!CC17),Datos!CC17," - ")</f>
        <v xml:space="preserve"> - </v>
      </c>
      <c r="AA17" s="335">
        <f>IF(ISNUMBER(Datos!L17),Datos!L17,"-")</f>
        <v>183</v>
      </c>
      <c r="AB17" s="337">
        <f>IF(ISNUMBER(Datos!R17),Datos!R17," - ")</f>
        <v>0</v>
      </c>
      <c r="AC17" s="337">
        <f t="shared" si="6"/>
        <v>183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1.0854700854700854</v>
      </c>
      <c r="AM17" s="263">
        <f>IF(ISNUMBER(((NºAsuntos!I17/NºAsuntos!G17)*11)/factor_trimestre),((NºAsuntos!I17/NºAsuntos!G17)*11)/factor_trimestre," - ")</f>
        <v>4.3228346456692917</v>
      </c>
      <c r="AN17" s="247">
        <f>IF(ISNUMBER('Resol  Asuntos'!D17/NºAsuntos!G17),'Resol  Asuntos'!D17/NºAsuntos!G17," - ")</f>
        <v>1.5748031496062992E-2</v>
      </c>
      <c r="AO17" s="248">
        <f>IF(ISNUMBER((NºAsuntos!C17+NºAsuntos!E17)/NºAsuntos!G17),(NºAsuntos!C17+NºAsuntos!E17)/NºAsuntos!G17," - ")</f>
        <v>2.4409448818897639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2136</v>
      </c>
      <c r="G18" s="869">
        <f>SUBTOTAL(9,G15:G17)</f>
        <v>2676</v>
      </c>
      <c r="H18" s="868">
        <f t="shared" ref="H18:O18" si="10">SUBTOTAL(9,H14:H17)</f>
        <v>0</v>
      </c>
      <c r="I18" s="870">
        <f t="shared" si="10"/>
        <v>0</v>
      </c>
      <c r="J18" s="870">
        <f t="shared" si="10"/>
        <v>0</v>
      </c>
      <c r="K18" s="870">
        <f t="shared" si="10"/>
        <v>0</v>
      </c>
      <c r="L18" s="870">
        <f t="shared" si="10"/>
        <v>50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1614</v>
      </c>
      <c r="X18" s="870">
        <f t="shared" si="11"/>
        <v>51</v>
      </c>
      <c r="Y18" s="871">
        <f t="shared" si="11"/>
        <v>1614</v>
      </c>
      <c r="Z18" s="871">
        <f t="shared" si="11"/>
        <v>0</v>
      </c>
      <c r="AA18" s="871">
        <f t="shared" si="11"/>
        <v>2357</v>
      </c>
      <c r="AB18" s="871">
        <f t="shared" si="11"/>
        <v>230</v>
      </c>
      <c r="AC18" s="871">
        <f t="shared" si="11"/>
        <v>2587</v>
      </c>
      <c r="AD18" s="871">
        <f t="shared" si="11"/>
        <v>0</v>
      </c>
      <c r="AE18" s="875">
        <f t="shared" si="11"/>
        <v>0</v>
      </c>
      <c r="AF18" s="868">
        <f t="shared" si="11"/>
        <v>0</v>
      </c>
      <c r="AG18" s="876">
        <f t="shared" si="11"/>
        <v>0</v>
      </c>
      <c r="AH18" s="873">
        <f t="shared" si="11"/>
        <v>0</v>
      </c>
      <c r="AI18" s="868">
        <f t="shared" si="11"/>
        <v>221</v>
      </c>
      <c r="AJ18" s="870">
        <f t="shared" si="11"/>
        <v>0</v>
      </c>
      <c r="AK18" s="873">
        <f t="shared" si="11"/>
        <v>0</v>
      </c>
      <c r="AL18" s="877">
        <f>IF(ISNUMBER(NºAsuntos!G18/NºAsuntos!E18),NºAsuntos!G18/NºAsuntos!E18," - ")</f>
        <v>0.98294762484774667</v>
      </c>
      <c r="AM18" s="877">
        <f>IF(ISNUMBER(((NºAsuntos!I18/NºAsuntos!G18)*11)/factor_trimestre),((NºAsuntos!I18/NºAsuntos!G18)*11)/factor_trimestre," - ")</f>
        <v>4.3810408921933091</v>
      </c>
      <c r="AN18" s="878">
        <f>IF(ISNUMBER('Resol  Asuntos'!D18/NºAsuntos!G18),'Resol  Asuntos'!D18/NºAsuntos!G18," - ")</f>
        <v>0.13692688971499381</v>
      </c>
      <c r="AO18" s="879">
        <f>IF(ISNUMBER((NºAsuntos!C18+NºAsuntos!E18)/NºAsuntos!G18),(NºAsuntos!C18+NºAsuntos!E18)/NºAsuntos!G18," - ")</f>
        <v>2.6753407682775712</v>
      </c>
      <c r="AP18" s="880" t="str">
        <f t="shared" si="2"/>
        <v xml:space="preserve"> - </v>
      </c>
      <c r="AQ18" s="880">
        <f>IF(ISNUMBER((H18-W18+K18)/(F18)),(H18-W18+K18)/(F18)," - ")</f>
        <v>-0.7556179775280899</v>
      </c>
      <c r="AR18" s="881">
        <f>IF(ISNUMBER((Datos!P18-Datos!Q18)/(Datos!R18-Datos!P18+Datos!Q18)),(Datos!P18-Datos!Q18)/(Datos!R18-Datos!P18+Datos!Q18)," - ")</f>
        <v>-4.329004329004329E-3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2225</v>
      </c>
      <c r="G19" s="824">
        <f t="shared" si="13"/>
        <v>2765</v>
      </c>
      <c r="H19" s="823">
        <f t="shared" si="13"/>
        <v>0</v>
      </c>
      <c r="I19" s="825">
        <f t="shared" si="13"/>
        <v>0</v>
      </c>
      <c r="J19" s="825">
        <f t="shared" si="13"/>
        <v>0</v>
      </c>
      <c r="K19" s="884">
        <f t="shared" si="13"/>
        <v>0</v>
      </c>
      <c r="L19" s="825">
        <f t="shared" si="13"/>
        <v>502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1644</v>
      </c>
      <c r="X19" s="824">
        <f t="shared" si="14"/>
        <v>577</v>
      </c>
      <c r="Y19" s="831">
        <f t="shared" si="14"/>
        <v>2170</v>
      </c>
      <c r="Z19" s="831">
        <f t="shared" si="14"/>
        <v>0</v>
      </c>
      <c r="AA19" s="831">
        <f t="shared" si="14"/>
        <v>2430</v>
      </c>
      <c r="AB19" s="831">
        <f t="shared" si="14"/>
        <v>5533</v>
      </c>
      <c r="AC19" s="831">
        <f t="shared" si="14"/>
        <v>2713</v>
      </c>
      <c r="AD19" s="831">
        <f t="shared" si="14"/>
        <v>0</v>
      </c>
      <c r="AE19" s="833">
        <f t="shared" si="14"/>
        <v>0</v>
      </c>
      <c r="AF19" s="834">
        <f t="shared" si="14"/>
        <v>0</v>
      </c>
      <c r="AG19" s="835">
        <f t="shared" si="14"/>
        <v>0</v>
      </c>
      <c r="AH19" s="833">
        <f t="shared" si="14"/>
        <v>0</v>
      </c>
      <c r="AI19" s="823">
        <f t="shared" si="14"/>
        <v>839</v>
      </c>
      <c r="AJ19" s="823">
        <f t="shared" si="14"/>
        <v>0</v>
      </c>
      <c r="AK19" s="833">
        <f t="shared" si="14"/>
        <v>0</v>
      </c>
      <c r="AL19" s="887">
        <f>IF(ISNUMBER(NºAsuntos!G19/NºAsuntos!E19),NºAsuntos!G19/NºAsuntos!E19," - ")</f>
        <v>0.95611529472864187</v>
      </c>
      <c r="AM19" s="888">
        <f>IF(ISNUMBER(((NºAsuntos!I19/NºAsuntos!G19)*11)/factor_trimestre),((NºAsuntos!I19/NºAsuntos!G19)*11)/factor_trimestre," - ")</f>
        <v>5.5852797392721349</v>
      </c>
      <c r="AN19" s="888">
        <f>IF(ISNUMBER('Resol  Asuntos'!D19/NºAsuntos!G19),'Resol  Asuntos'!D19/NºAsuntos!G19," - ")</f>
        <v>0.2278652906029332</v>
      </c>
      <c r="AO19" s="889">
        <f>IF(ISNUMBER((NºAsuntos!C19+NºAsuntos!E19)/NºAsuntos!G19),(NºAsuntos!C19+NºAsuntos!E19)/NºAsuntos!G19," - ")</f>
        <v>2.9600760456273765</v>
      </c>
      <c r="AP19" s="890" t="str">
        <f t="shared" si="2"/>
        <v xml:space="preserve"> - </v>
      </c>
      <c r="AQ19" s="891">
        <f>IF(OR(ISNUMBER(FIND("01",Criterios!A8,1)),ISNUMBER(FIND("02",Criterios!A8,1)),ISNUMBER(FIND("03",Criterios!A8,1)),ISNUMBER(FIND("04",Criterios!A8,1))),(I19-W19+K19)/(F19-K19),(H19-W19+K19)/(F19-K19))</f>
        <v>-0.73887640449438208</v>
      </c>
      <c r="AR19" s="892">
        <f>IF(ISNUMBER((Datos!P19-Datos!Q19)/(Datos!R19-Datos!P19+Datos!Q19)),(Datos!P19-Datos!Q19)/(Datos!R19-Datos!P19+Datos!Q19)," - ")</f>
        <v>-1.3373751783166904E-2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2.3452078799117149</v>
      </c>
      <c r="F21" s="255">
        <f>IF(ISNUMBER(STDEV(F8:F18)),STDEV(F8:F18),"-")</f>
        <v>1181.836001031164</v>
      </c>
      <c r="G21" s="256">
        <f>IF(ISNUMBER(STDEV(G8:G18)),STDEV(G8:G18),"-")</f>
        <v>1347.5140073483467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817.29817080426653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248.41080606815109</v>
      </c>
      <c r="AJ21" s="255">
        <f t="shared" si="18"/>
        <v>0</v>
      </c>
      <c r="AK21" s="257">
        <f t="shared" si="18"/>
        <v>0</v>
      </c>
      <c r="AL21" s="252">
        <f t="shared" si="18"/>
        <v>0.4511337531105763</v>
      </c>
      <c r="AM21" s="253">
        <f t="shared" si="18"/>
        <v>1.6277702949714905</v>
      </c>
      <c r="AN21" s="253">
        <f t="shared" si="18"/>
        <v>0.10740702228949772</v>
      </c>
      <c r="AO21" s="254">
        <f t="shared" si="18"/>
        <v>0.5022975455009977</v>
      </c>
      <c r="AP21" s="294" t="str">
        <f t="shared" si="18"/>
        <v>-</v>
      </c>
      <c r="AQ21" s="295">
        <f t="shared" si="18"/>
        <v>0.29595199549661672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a4CSK6H7fbc+oQSTYYVy3/1vWLwjBgL3ung0PUQZXB1Oxe5cyN9K4Spe4zt2fKf/CjN40Bu2EHTZlKb5oV+fQ==" saltValue="GfUQDNsJxQhy65PZ/y3D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LUGO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0.12731006160164271</v>
      </c>
      <c r="I9" s="353">
        <f>IF(ISNUMBER((Tasas!C9-Datos!BE9)/Datos!BE9),(Tasas!C9-Datos!BE9)/Datos!BE9," - ")</f>
        <v>0.25044525913560106</v>
      </c>
      <c r="J9" s="352">
        <f>IF(ISNUMBER((Tasas!D9-Datos!BF9)/Datos!BF9),(Tasas!D9-Datos!BF9)/Datos!BF9," - ")</f>
        <v>-0.14693032009679274</v>
      </c>
      <c r="K9" s="354">
        <f>IF(ISNUMBER((Tasas!E9-Datos!BG9)/Datos!BG9),(Tasas!E9-Datos!BG9)/Datos!BG9," - ")</f>
        <v>0.16489175600332365</v>
      </c>
      <c r="M9" t="e">
        <f>IF(Monitorios="SI",Datos!CE9,0)</f>
        <v>#REF!</v>
      </c>
      <c r="N9" t="e">
        <f>IF(Monitorios="SI",Datos!CF9,0)</f>
        <v>#REF!</v>
      </c>
      <c r="O9" t="e">
        <f>IF(Monitorios="SI",Datos!CG9,0)</f>
        <v>#REF!</v>
      </c>
      <c r="P9" t="e">
        <f>IF(Monitorios="SI",Datos!CH9,0)</f>
        <v>#REF!</v>
      </c>
      <c r="Q9">
        <f>IF(J_V="SI",0,Datos!AG9)</f>
        <v>249</v>
      </c>
      <c r="R9">
        <f>IF(J_V="SI",0,Datos!AH9)</f>
        <v>304</v>
      </c>
      <c r="S9">
        <f>IF(J_V="SI",0,Datos!AI9)</f>
        <v>311</v>
      </c>
      <c r="T9">
        <f>IF(J_V="SI",0,Datos!AJ9)</f>
        <v>242</v>
      </c>
    </row>
    <row r="10" spans="2:20" ht="14.25">
      <c r="B10" s="278" t="s">
        <v>245</v>
      </c>
      <c r="C10" s="7" t="str">
        <f>Datos!A10</f>
        <v>Jdos. Violencia contra la mujer</v>
      </c>
      <c r="D10" s="355">
        <f>IF(ISNUMBER((Datos!I10-Datos!S10)/Datos!S10),(Datos!I10-Datos!S10)/Datos!S10," - ")</f>
        <v>2.2988505747126436E-2</v>
      </c>
      <c r="E10" s="351">
        <f>IF(ISNUMBER((Datos!J10-Datos!T10)/Datos!T10),(Datos!J10-Datos!T10)/Datos!T10," - ")</f>
        <v>-0.3</v>
      </c>
      <c r="F10" s="351">
        <f>IF(ISNUMBER((Datos!K10-Datos!U10)/Datos!U10),(Datos!K10-Datos!U10)/Datos!U10," - ")</f>
        <v>1.7272727272727273</v>
      </c>
      <c r="G10" s="352">
        <f>IF(ISNUMBER((Datos!L10-Datos!V10)/Datos!V10),(Datos!L10-Datos!V10)/Datos!V10," - ")</f>
        <v>-0.23958333333333334</v>
      </c>
      <c r="H10" s="233">
        <f>IF(ISNUMBER((Datos!M10-Datos!W10)/Datos!W10),(Datos!M10-Datos!W10)/Datos!W10," - ")</f>
        <v>1</v>
      </c>
      <c r="I10" s="353">
        <f>IF(ISNUMBER((Tasas!C10-Datos!BE10)/Datos!BE10),(Tasas!C10-Datos!BE10)/Datos!BE10," - ")</f>
        <v>-0.72118055555555549</v>
      </c>
      <c r="J10" s="352">
        <f>IF(ISNUMBER((Tasas!D10-Datos!BF10)/Datos!BF10),(Tasas!D10-Datos!BF10)/Datos!BF10," - ")</f>
        <v>-0.26666666666666672</v>
      </c>
      <c r="K10" s="354">
        <f>IF(ISNUMBER((Tasas!E10-Datos!BG10)/Datos!BG10),(Tasas!E10-Datos!BG10)/Datos!BG10," - ")</f>
        <v>-0.64704049844236755</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1</v>
      </c>
      <c r="S12">
        <f>IF(J_V="SI",0,Datos!AI12)</f>
        <v>0</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0.25865580448065173</v>
      </c>
      <c r="I13" s="360">
        <f>IF(ISNUMBER((Tasas!C13-Datos!BE13)/Datos!BE13),(Tasas!C13-Datos!BE13)/Datos!BE13," - ")</f>
        <v>0.12061939355610578</v>
      </c>
      <c r="J13" s="358">
        <f>IF(ISNUMBER((Tasas!D13-Datos!BF13)/Datos!BF13),(Tasas!D13-Datos!BF13)/Datos!BF13," - ")</f>
        <v>-0.20212056579949206</v>
      </c>
      <c r="K13" s="361">
        <f>IF(ISNUMBER((Tasas!E13-Datos!BG13)/Datos!BG13),(Tasas!E13-Datos!BG13)/Datos!BG13," - ")</f>
        <v>8.2071773615792598E-2</v>
      </c>
      <c r="M13" t="e">
        <f>IF(Monitorios="SI",Datos!CE13,0)</f>
        <v>#REF!</v>
      </c>
      <c r="N13" t="e">
        <f>IF(Monitorios="SI",Datos!CF13,0)</f>
        <v>#REF!</v>
      </c>
      <c r="O13" t="e">
        <f>IF(Monitorios="SI",Datos!CG13,0)</f>
        <v>#REF!</v>
      </c>
      <c r="P13" t="e">
        <f>IF(Monitorios="SI",Datos!CH13,0)</f>
        <v>#REF!</v>
      </c>
      <c r="Q13">
        <f>IF(J_V="SI",0,Datos!AG13)</f>
        <v>249</v>
      </c>
      <c r="R13">
        <f>IF(J_V="SI",0,Datos!AH13)</f>
        <v>305</v>
      </c>
      <c r="S13">
        <f>IF(J_V="SI",0,Datos!AI13)</f>
        <v>311</v>
      </c>
      <c r="T13">
        <f>IF(J_V="SI",0,Datos!AJ13)</f>
        <v>243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0.38560267857142855</v>
      </c>
      <c r="E15" s="351">
        <f>IF(ISNUMBER(
   IF(D_I="SI",(Datos!J15-Datos!T15)/Datos!T15,(Datos!J15+Datos!AD15-(Datos!T15+Datos!AL15))/(Datos!T15+Datos!AL15))
     ),IF(D_I="SI",(Datos!J15-Datos!T15)/Datos!T15,(Datos!J15+Datos!AD15-(Datos!T15+Datos!AL15))/(Datos!T15+Datos!AL15))," - ")</f>
        <v>0.25617792421746294</v>
      </c>
      <c r="F15" s="351">
        <f>IF(ISNUMBER(
   IF(D_I="SI",(Datos!K15-Datos!U15)/Datos!U15,(Datos!K15+Datos!AE15-(Datos!U15+Datos!AM15))/(Datos!U15+Datos!AM15))
     ),IF(D_I="SI",(Datos!K15-Datos!U15)/Datos!U15,(Datos!K15+Datos!AE15-(Datos!U15+Datos!AM15))/(Datos!U15+Datos!AM15))," - ")</f>
        <v>0.27420736932305056</v>
      </c>
      <c r="G15" s="352">
        <f>IF(ISNUMBER(
   IF(D_I="SI",(Datos!L15-Datos!V15)/Datos!V15,(Datos!L15+Datos!AF15-(Datos!V15+Datos!AN15))/(Datos!V15+Datos!AN15))
     ),IF(D_I="SI",(Datos!L15-Datos!V15)/Datos!V15,(Datos!L15+Datos!AF15-(Datos!V15+Datos!AN15))/(Datos!V15+Datos!AN15))," - ")</f>
        <v>0.1808799565453558</v>
      </c>
      <c r="H15" s="233">
        <f>IF(ISNUMBER((Datos!M15-Datos!W15)/Datos!W15),(Datos!M15-Datos!W15)/Datos!W15," - ")</f>
        <v>0.28823529411764703</v>
      </c>
      <c r="I15" s="353">
        <f>IF(ISNUMBER((Tasas!C15-Datos!BE15)/Datos!BE15),(Tasas!C15-Datos!BE15)/Datos!BE15," - ")</f>
        <v>-7.3243504177249424E-2</v>
      </c>
      <c r="J15" s="352">
        <f>IF(ISNUMBER((Tasas!D15-Datos!BF15)/Datos!BF15),(Tasas!D15-Datos!BF15)/Datos!BF15," - ")</f>
        <v>1.1009138019700266E-2</v>
      </c>
      <c r="K15" s="354">
        <f>IF(ISNUMBER((Tasas!E15-Datos!BG15)/Datos!BG15),(Tasas!E15-Datos!BG15)/Datos!BG15," - ")</f>
        <v>4.6402151983860239E-2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4.3243243243243246E-2</v>
      </c>
      <c r="E17" s="351">
        <f>IF(ISNUMBER(
   IF(D_I="SI",(Datos!J17-Datos!T17)/Datos!T17,(Datos!J17+Datos!AD17-(Datos!T17+Datos!AL17))/(Datos!T17+Datos!AL17))
     ),IF(D_I="SI",(Datos!J17-Datos!T17)/Datos!T17,(Datos!J17+Datos!AD17-(Datos!T17+Datos!AL17))/(Datos!T17+Datos!AL17))," - ")</f>
        <v>2.6315789473684209E-2</v>
      </c>
      <c r="F17" s="351">
        <f>IF(ISNUMBER(
   IF(D_I="SI",(Datos!K17-Datos!U17)/Datos!U17,(Datos!K17+Datos!AE17-(Datos!U17+Datos!AM17))/(Datos!U17+Datos!AM17))
     ),IF(D_I="SI",(Datos!K17-Datos!U17)/Datos!U17,(Datos!K17+Datos!AE17-(Datos!U17+Datos!AM17))/(Datos!U17+Datos!AM17))," - ")</f>
        <v>0.20952380952380953</v>
      </c>
      <c r="G17" s="352">
        <f>IF(ISNUMBER(
   IF(D_I="SI",(Datos!L17-Datos!V17)/Datos!V17,(Datos!L17+Datos!AF17-(Datos!V17+Datos!AN17))/(Datos!V17+Datos!AN17))
     ),IF(D_I="SI",(Datos!L17-Datos!V17)/Datos!V17,(Datos!L17+Datos!AF17-(Datos!V17+Datos!AN17))/(Datos!V17+Datos!AN17))," - ")</f>
        <v>-5.6701030927835051E-2</v>
      </c>
      <c r="H17" s="233">
        <f>IF(ISNUMBER((Datos!M17-Datos!W17)/Datos!W17),(Datos!M17-Datos!W17)/Datos!W17," - ")</f>
        <v>-0.6</v>
      </c>
      <c r="I17" s="353">
        <f>IF(ISNUMBER((Tasas!C17-Datos!BE17)/Datos!BE17),(Tasas!C17-Datos!BE17)/Datos!BE17," - ")</f>
        <v>-0.22010715155450927</v>
      </c>
      <c r="J17" s="352">
        <f>IF(ISNUMBER((Tasas!D17-Datos!BF17)/Datos!BF17),(Tasas!D17-Datos!BF17)/Datos!BF17," - ")</f>
        <v>-0.6692913385826772</v>
      </c>
      <c r="K17" s="354">
        <f>IF(ISNUMBER((Tasas!E17-Datos!BG17)/Datos!BG17),(Tasas!E17-Datos!BG17)/Datos!BG17," - ")</f>
        <v>-0.14281199799857794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0.35356600910470409</v>
      </c>
      <c r="E18" s="357">
        <f>IF(ISNUMBER(
   IF(D_I="SI",(Datos!J18-Datos!T18)/Datos!T18,(Datos!J18+Datos!AD18-(Datos!T18+Datos!AL18))/(Datos!T18+Datos!AL18))
     ),IF(D_I="SI",(Datos!J18-Datos!T18)/Datos!T18,(Datos!J18+Datos!AD18-(Datos!T18+Datos!AL18))/(Datos!T18+Datos!AL18))," - ")</f>
        <v>0.23644578313253012</v>
      </c>
      <c r="F18" s="357">
        <f>IF(ISNUMBER(
   IF(D_I="SI",(Datos!K18-Datos!U18)/Datos!U18,(Datos!K18+Datos!AE18-(Datos!U18+Datos!AM18))/(Datos!U18+Datos!AM18))
     ),IF(D_I="SI",(Datos!K18-Datos!U18)/Datos!U18,(Datos!K18+Datos!AE18-(Datos!U18+Datos!AM18))/(Datos!U18+Datos!AM18))," - ")</f>
        <v>0.26886792452830188</v>
      </c>
      <c r="G18" s="358">
        <f>IF(ISNUMBER(
   IF(D_I="SI",(Datos!L18-Datos!V18)/Datos!V18,(Datos!L18+Datos!AF18-(Datos!V18+Datos!AN18))/(Datos!V18+Datos!AN18))
     ),IF(D_I="SI",(Datos!L18-Datos!V18)/Datos!V18,(Datos!L18+Datos!AF18-(Datos!V18+Datos!AN18))/(Datos!V18+Datos!AN18))," - ")</f>
        <v>0.15823095823095823</v>
      </c>
      <c r="H18" s="359">
        <f>IF(ISNUMBER((Datos!M18-Datos!W18)/Datos!W18),(Datos!M18-Datos!W18)/Datos!W18," - ")</f>
        <v>0.26285714285714284</v>
      </c>
      <c r="I18" s="360">
        <f>IF(ISNUMBER((Tasas!C18-Datos!BE18)/Datos!BE18),(Tasas!C18-Datos!BE18)/Datos!BE18," - ")</f>
        <v>-8.719344555775782E-2</v>
      </c>
      <c r="J18" s="358">
        <f>IF(ISNUMBER((Tasas!D18-Datos!BF18)/Datos!BF18),(Tasas!D18-Datos!BF18)/Datos!BF18," - ")</f>
        <v>-4.737121614444971E-3</v>
      </c>
      <c r="K18" s="361">
        <f>IF(ISNUMBER((Tasas!E18-Datos!BG18)/Datos!BG18),(Tasas!E18-Datos!BG18)/Datos!BG18," - ")</f>
        <v>2.9662165582169574E-2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0.13879463564388431</v>
      </c>
      <c r="E19" s="366">
        <f>IF(ISNUMBER(
   IF(J_V="SI",(Datos!J19-Datos!T19)/Datos!T19,(Datos!J19+Datos!Z19-(Datos!T19+Datos!AH19))/(Datos!T19+Datos!AH19))
     ),IF(J_V="SI",(Datos!J19-Datos!T19)/Datos!T19,(Datos!J19+Datos!Z19-(Datos!T19+Datos!AH19))/(Datos!T19+Datos!AH19))," - ")</f>
        <v>8.8160497315625877E-2</v>
      </c>
      <c r="F19" s="366">
        <f>IF(ISNUMBER(
   IF(J_V="SI",(Datos!K19-Datos!U19)/Datos!U19,(Datos!K19+Datos!AA19-(Datos!U19+Datos!AI19))/(Datos!U19+Datos!AI19))
     ),IF(J_V="SI",(Datos!K19-Datos!U19)/Datos!U19,(Datos!K19+Datos!AA19-(Datos!U19+Datos!AI19))/(Datos!U19+Datos!AI19))," - ")</f>
        <v>6.5393518518518517E-2</v>
      </c>
      <c r="G19" s="367">
        <f>IF(ISNUMBER(
   IF(J_V="SI",(Datos!L19-Datos!V19)/Datos!V19,(Datos!L19+Datos!AB19-(Datos!V19+Datos!AJ19))/(Datos!V19+Datos!AJ19))
     ),IF(J_V="SI",(Datos!L19-Datos!V19)/Datos!V19,(Datos!L19+Datos!AB19-(Datos!V19+Datos!AJ19))/(Datos!V19+Datos!AJ19))," - ")</f>
        <v>9.2604399107427474E-2</v>
      </c>
      <c r="H19" s="368">
        <f>IF(ISNUMBER((Datos!M19-Datos!W19)/Datos!W19),(Datos!M19-Datos!W19)/Datos!W19," - ")</f>
        <v>0.25975975975975973</v>
      </c>
      <c r="I19" s="365">
        <f>IF(ISNUMBER((Tasas!C19-Datos!BE19)/Datos!BE19),(Tasas!C19-Datos!BE19)/Datos!BE19," - ")</f>
        <v>2.5540685311045454E-2</v>
      </c>
      <c r="J19" s="366">
        <f>IF(ISNUMBER((Tasas!D19-Datos!BF19)/Datos!BF19),(Tasas!D19-Datos!BF19)/Datos!BF19," - ")</f>
        <v>-0.20694617892876421</v>
      </c>
      <c r="K19" s="367">
        <f>IF(ISNUMBER((Tasas!E19-Datos!BG19)/Datos!BG19),(Tasas!E19-Datos!BG19)/Datos!BG19," - ")</f>
        <v>5.1605963578146882E-2</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0.19487545779524579</v>
      </c>
      <c r="E21" s="281">
        <f t="shared" si="1"/>
        <v>0.25835546067114307</v>
      </c>
      <c r="F21" s="281">
        <f t="shared" si="1"/>
        <v>0.73878500915546719</v>
      </c>
      <c r="G21" s="282">
        <f t="shared" si="1"/>
        <v>0.19825173137930044</v>
      </c>
      <c r="H21" s="288">
        <f t="shared" si="1"/>
        <v>0.50937804984909574</v>
      </c>
      <c r="I21" s="280">
        <f t="shared" si="1"/>
        <v>0.33758269664672214</v>
      </c>
      <c r="J21" s="281">
        <f t="shared" si="1"/>
        <v>0.24864387842860172</v>
      </c>
      <c r="K21" s="282">
        <f t="shared" si="1"/>
        <v>0.29654472474467841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8IPvAQd8JaJi+l4tGcYLnM5bluuHfbEJ670zmhcG4nvdw6qksfMuY3am+joe/kKJdPHUyjTErLnyfm++oczWQ==" saltValue="XdObfwHRUNt1aQJYPotM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